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70" windowHeight="7260" firstSheet="1" activeTab="6"/>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2"/>
          </rPr>
          <t>Naputak:</t>
        </r>
        <r>
          <rPr>
            <sz val="8"/>
            <rFont val="Tahoma"/>
            <family val="2"/>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2"/>
          </rPr>
          <t>Naputak:</t>
        </r>
        <r>
          <rPr>
            <sz val="8"/>
            <rFont val="Tahoma"/>
            <family val="2"/>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2"/>
          </rPr>
          <t>Naputak:</t>
        </r>
        <r>
          <rPr>
            <sz val="8"/>
            <rFont val="Tahoma"/>
            <family val="2"/>
          </rPr>
          <t xml:space="preserve">
Tvrtke registrirane u trgovačkom sudu upisuju matični broj suda (devet znamenaka), ostali ne upisuju ništa.</t>
        </r>
      </text>
    </comment>
    <comment ref="A45"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2"/>
          </rPr>
          <t>Uputa:</t>
        </r>
        <r>
          <rPr>
            <sz val="8"/>
            <rFont val="Tahoma"/>
            <family val="2"/>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2"/>
          </rPr>
          <t>Uputa:</t>
        </r>
        <r>
          <rPr>
            <sz val="8"/>
            <rFont val="Tahoma"/>
            <family val="2"/>
          </rPr>
          <t xml:space="preserve">
Upisuje se adresa službenih internet stranica obveznika, bez http:// - samo www.stranica.hr).</t>
        </r>
      </text>
    </comment>
    <comment ref="A51"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H37"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2"/>
          </rPr>
          <t>Uputa:</t>
        </r>
        <r>
          <rPr>
            <sz val="8"/>
            <rFont val="Tahoma"/>
            <family val="2"/>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2"/>
          </rPr>
          <t>Uputa:</t>
        </r>
        <r>
          <rPr>
            <sz val="8"/>
            <rFont val="Tahoma"/>
            <family val="2"/>
          </rPr>
          <t xml:space="preserve">
Opis značenja svake šifre možete naći na radnom listu Sifre</t>
        </r>
      </text>
    </comment>
    <comment ref="A63"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2"/>
          </rPr>
          <t>Naputak:</t>
        </r>
        <r>
          <rPr>
            <sz val="8"/>
            <rFont val="Tahoma"/>
            <family val="2"/>
          </rPr>
          <t xml:space="preserve">
Od 1. siječnja 2010. godine upis OIB-a obvezan je za sve obveznike i za sve svrhe predaje.</t>
        </r>
      </text>
    </comment>
    <comment ref="F14"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<sst xmlns="http://schemas.openxmlformats.org/spreadsheetml/2006/main" count="4951" uniqueCount="3002">
  <si>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</si>
  <si>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</si>
  <si>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</si>
  <si>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</si>
  <si>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</si>
  <si>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</si>
  <si>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</si>
  <si>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</si>
  <si>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</si>
  <si>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</si>
  <si>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</si>
  <si>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</si>
  <si>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</si>
  <si>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</si>
  <si>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</si>
  <si>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</si>
  <si>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</si>
  <si>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</si>
  <si>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</si>
  <si>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</si>
  <si>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</si>
  <si>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</si>
  <si>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</si>
  <si>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</si>
  <si>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</si>
  <si>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</si>
  <si>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</si>
  <si>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</si>
  <si>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</si>
  <si>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</si>
  <si>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</si>
  <si>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</si>
  <si>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</si>
  <si>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</si>
  <si>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</si>
  <si>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</si>
  <si>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</si>
  <si>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</si>
  <si>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</si>
  <si>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</si>
  <si>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</si>
  <si>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</si>
  <si>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</si>
  <si>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</si>
  <si>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</si>
  <si>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</si>
  <si>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</si>
  <si>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</si>
  <si>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</si>
  <si>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</si>
  <si>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</si>
  <si>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</si>
  <si>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</si>
  <si>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</si>
  <si>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</si>
  <si>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</si>
  <si>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</si>
  <si>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</si>
  <si>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</si>
  <si>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</si>
  <si>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</si>
  <si>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</si>
  <si>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</si>
  <si>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</si>
  <si>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</si>
  <si>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</si>
  <si>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</si>
  <si>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</si>
  <si>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</si>
  <si>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</si>
  <si>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</si>
  <si>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</si>
  <si>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</si>
  <si>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</si>
  <si>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</si>
  <si>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</si>
  <si>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</si>
  <si>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</si>
  <si>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</si>
  <si>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</si>
  <si>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</si>
  <si>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</si>
  <si>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</si>
  <si>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</si>
  <si>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</si>
  <si>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</si>
  <si>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</si>
  <si>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</si>
  <si>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</si>
  <si>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</si>
  <si>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</si>
  <si>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</si>
  <si>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</si>
  <si>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</si>
  <si>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</si>
  <si>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</si>
  <si>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</si>
  <si>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</si>
  <si>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</si>
  <si>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</si>
  <si>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</si>
  <si>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</si>
  <si>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</si>
  <si>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</si>
  <si>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</si>
  <si>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</si>
  <si>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</si>
  <si>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</si>
  <si>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</si>
  <si>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</si>
  <si>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</si>
  <si>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</si>
  <si>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</si>
  <si>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</si>
  <si>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</si>
  <si>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</si>
  <si>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</si>
  <si>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</si>
  <si>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</si>
  <si>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</si>
  <si>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</si>
  <si>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</si>
  <si>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</si>
  <si>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</si>
  <si>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</si>
  <si>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</si>
  <si>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</si>
  <si>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</si>
  <si>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</si>
  <si>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</si>
  <si>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</si>
  <si>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</si>
  <si>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</si>
  <si>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</si>
  <si>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</si>
  <si>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</si>
  <si>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</si>
  <si>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</si>
  <si>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</si>
  <si>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</si>
  <si>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</si>
  <si>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</si>
  <si>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</si>
  <si>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</si>
  <si>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</si>
  <si>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</si>
  <si>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</si>
  <si>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</si>
  <si>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</si>
  <si>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</si>
  <si>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</si>
  <si>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</si>
  <si>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</si>
  <si>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</si>
  <si>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</si>
  <si>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</si>
  <si>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</si>
  <si>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</si>
  <si>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</si>
  <si>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</si>
  <si>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</si>
  <si>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</si>
  <si>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</si>
  <si>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</si>
  <si>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</si>
  <si>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</si>
  <si>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</si>
  <si>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</si>
  <si>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</si>
  <si>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</si>
  <si>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</si>
  <si>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</si>
  <si>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</si>
  <si>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</si>
  <si>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</si>
  <si>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</si>
  <si>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</si>
  <si>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</si>
  <si>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</si>
  <si>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</si>
  <si>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</si>
  <si>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</si>
  <si>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</si>
  <si>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</si>
  <si>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</si>
  <si>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</si>
  <si>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</si>
  <si>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</si>
  <si>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</si>
  <si>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</si>
  <si>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</si>
  <si>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</si>
  <si>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</si>
  <si>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</si>
  <si>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</si>
  <si>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</si>
  <si>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</si>
  <si>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</si>
  <si>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</si>
  <si>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</si>
  <si>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</si>
  <si>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</si>
  <si>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</si>
  <si>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</si>
  <si>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</si>
  <si>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</si>
  <si>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</si>
  <si>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</si>
  <si>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</si>
  <si>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</si>
  <si>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</si>
  <si>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</si>
  <si>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</si>
  <si>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</si>
  <si>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</si>
  <si>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</si>
  <si>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</si>
  <si>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</si>
  <si>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</si>
  <si>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</si>
  <si>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</si>
  <si>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</si>
  <si>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</si>
  <si>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</si>
  <si>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</si>
  <si>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</si>
  <si>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</si>
  <si>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</si>
  <si>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</si>
  <si>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</si>
  <si>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</si>
  <si>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</si>
  <si>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</si>
  <si>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</si>
  <si>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</si>
  <si>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</si>
  <si>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</si>
  <si>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</si>
  <si>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</si>
  <si>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</si>
  <si>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</si>
  <si>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</si>
  <si>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</si>
  <si>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</si>
  <si>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</si>
  <si>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</si>
  <si>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</si>
  <si>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</si>
  <si>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</si>
  <si>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</si>
  <si>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</si>
  <si>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</si>
  <si>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</si>
  <si>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</si>
  <si>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</si>
  <si>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</si>
  <si>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</si>
  <si>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</si>
  <si>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</si>
  <si>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</si>
  <si>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</si>
  <si>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</si>
  <si>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</si>
  <si>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</si>
  <si>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</si>
  <si>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</si>
  <si>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</si>
  <si>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</si>
  <si>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</si>
  <si>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</si>
  <si>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</si>
  <si>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</si>
  <si>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</si>
  <si>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</si>
  <si>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</si>
  <si>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</si>
  <si>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</si>
  <si>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</si>
  <si>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</si>
  <si>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</si>
  <si>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</si>
  <si>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</si>
  <si>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</si>
  <si>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</si>
  <si>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</si>
  <si>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</si>
  <si>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</si>
  <si>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</si>
  <si>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</si>
  <si>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</si>
  <si>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</si>
  <si>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</si>
  <si>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</si>
  <si>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</si>
  <si>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</si>
  <si>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</si>
  <si>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</si>
  <si>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</si>
  <si>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</si>
  <si>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</si>
  <si>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</si>
  <si>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</si>
  <si>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</si>
  <si>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</si>
  <si>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</si>
  <si>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</si>
  <si>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</si>
  <si>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</si>
  <si>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</si>
  <si>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</si>
  <si>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</si>
  <si>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</si>
  <si>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</si>
  <si>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</si>
  <si>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</si>
  <si>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</si>
  <si>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</si>
  <si>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</si>
  <si>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</si>
  <si>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</si>
  <si>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</si>
  <si>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</si>
  <si>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</si>
  <si>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</si>
  <si>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</si>
  <si>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</si>
  <si>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</si>
  <si>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</si>
  <si>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</si>
  <si>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</si>
  <si>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</si>
  <si>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</si>
  <si>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</si>
  <si>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</si>
  <si>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</si>
  <si>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</si>
  <si>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</si>
  <si>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</si>
  <si>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</si>
  <si>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</si>
  <si>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</si>
  <si>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</si>
  <si>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</si>
  <si>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</si>
  <si>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</si>
  <si>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</si>
  <si>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</si>
  <si>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</si>
  <si>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</si>
  <si>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</si>
  <si>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</si>
  <si>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</si>
  <si>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</si>
  <si>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</si>
  <si>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</si>
  <si>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</si>
  <si>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</si>
  <si>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</si>
  <si>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</si>
  <si>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</si>
  <si>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</si>
  <si>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</si>
  <si>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</si>
  <si>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</si>
  <si>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</si>
  <si>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</si>
  <si>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</si>
  <si>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</si>
  <si>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</si>
  <si>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</si>
  <si>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</si>
  <si>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</si>
  <si>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</si>
  <si>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</si>
  <si>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</si>
  <si>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</si>
  <si>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</si>
  <si>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</si>
  <si>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</si>
  <si>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</si>
  <si>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</si>
  <si>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</si>
  <si>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</si>
  <si>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</si>
  <si>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</si>
  <si>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</si>
  <si>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</si>
  <si>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</si>
  <si>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</si>
  <si>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</si>
  <si>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</si>
  <si>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</si>
  <si>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</si>
  <si>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</si>
  <si>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</si>
  <si>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</si>
  <si>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</si>
  <si>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</si>
  <si>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</si>
  <si>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</si>
  <si>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</si>
  <si>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</si>
  <si>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</si>
  <si>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</si>
  <si>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</si>
  <si>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</si>
  <si>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</si>
  <si>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</si>
  <si>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</si>
  <si>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</si>
  <si>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</si>
  <si>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</si>
  <si>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</si>
  <si>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</si>
  <si>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</si>
  <si>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</si>
  <si>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</si>
  <si>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</si>
  <si>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</si>
  <si>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</si>
  <si>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</si>
  <si>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</si>
  <si>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</si>
  <si>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</si>
  <si>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</si>
  <si>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</si>
  <si>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</si>
  <si>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</si>
  <si>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</si>
  <si>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</si>
  <si>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</si>
  <si>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</si>
  <si>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</si>
  <si>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</si>
  <si>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</si>
  <si>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</si>
  <si>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</si>
  <si>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</si>
  <si>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</si>
  <si>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</si>
  <si>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</si>
  <si>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</si>
  <si>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</si>
  <si>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</si>
  <si>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</si>
  <si>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</si>
  <si>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</si>
  <si>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</si>
  <si>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</si>
  <si>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</si>
  <si>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</si>
  <si>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</si>
  <si>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</si>
  <si>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</si>
  <si>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</si>
  <si>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</si>
  <si>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</si>
  <si>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</si>
  <si>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</si>
  <si>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</si>
  <si>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</si>
  <si>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</si>
  <si>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</si>
  <si>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</si>
  <si>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</si>
  <si>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</si>
  <si>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</si>
  <si>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</si>
  <si>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</si>
  <si>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</si>
  <si>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</si>
  <si>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</si>
  <si>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</si>
  <si>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</si>
  <si>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</si>
  <si>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</si>
  <si>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</si>
  <si>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</si>
  <si>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</si>
  <si>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</si>
  <si>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</si>
  <si>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</si>
  <si>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</si>
  <si>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</si>
  <si>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</si>
  <si>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</si>
  <si>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</si>
  <si>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</si>
  <si>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</si>
  <si>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</si>
  <si>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</si>
  <si>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</si>
  <si>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</si>
  <si>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</si>
  <si>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</si>
  <si>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</si>
  <si>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</si>
  <si>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</si>
  <si>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</si>
  <si>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</si>
  <si>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</si>
  <si>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</si>
  <si>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</si>
  <si>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</si>
  <si>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</si>
  <si>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</si>
  <si>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</si>
  <si>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</si>
  <si>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</si>
  <si>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</si>
  <si>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</si>
  <si>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</si>
  <si>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</si>
  <si>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</si>
  <si>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</si>
  <si>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</si>
  <si>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</si>
  <si>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</si>
  <si>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</si>
  <si>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</si>
  <si>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</si>
  <si>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</si>
  <si>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</si>
  <si>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</si>
  <si>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</si>
  <si>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</si>
  <si>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</si>
  <si>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</si>
  <si>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</si>
  <si>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</si>
  <si>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</si>
  <si>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</si>
  <si>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</si>
  <si>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</si>
  <si>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</si>
  <si>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</si>
  <si>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</si>
  <si>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</si>
  <si>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</si>
  <si>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</si>
  <si>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</si>
  <si>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</si>
  <si>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</si>
  <si>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</si>
  <si>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</si>
  <si>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</si>
  <si>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</si>
  <si>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</si>
  <si>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</si>
  <si>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</si>
  <si>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</si>
  <si>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</si>
  <si>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</si>
  <si>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</si>
  <si>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</si>
  <si>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</si>
  <si>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</si>
  <si>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</si>
  <si>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</si>
  <si>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</si>
  <si>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</si>
  <si>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</si>
  <si>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</si>
  <si>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</si>
  <si>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</si>
  <si>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</si>
  <si>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</si>
  <si>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</si>
  <si>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</si>
  <si>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</si>
  <si>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</si>
  <si>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</si>
  <si>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</si>
  <si>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</si>
  <si>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</si>
  <si>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</si>
  <si>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</si>
  <si>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</si>
  <si>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</si>
  <si>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</si>
  <si>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</si>
  <si>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</si>
  <si>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</si>
  <si>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</si>
  <si>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</si>
  <si>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</si>
  <si>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</si>
  <si>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</si>
  <si>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</si>
  <si>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</si>
  <si>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</si>
  <si>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</si>
  <si>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</si>
  <si>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</si>
  <si>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</si>
  <si>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</si>
  <si>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</si>
  <si>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</si>
  <si>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</si>
  <si>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</si>
  <si>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</si>
  <si>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</si>
  <si>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</si>
  <si>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</si>
  <si>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</si>
  <si>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</si>
  <si>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</si>
  <si>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</si>
  <si>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</si>
  <si>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</si>
  <si>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</si>
  <si>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</si>
  <si>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</si>
  <si>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</si>
  <si>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</si>
  <si>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</si>
  <si>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</si>
  <si>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</si>
  <si>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</si>
  <si>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</si>
  <si>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</si>
  <si>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</si>
  <si>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</si>
  <si>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</si>
  <si>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</si>
  <si>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</si>
  <si>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</si>
  <si>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</si>
  <si>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</si>
  <si>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</si>
  <si>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</si>
  <si>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</si>
  <si>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</si>
  <si>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</si>
  <si>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</si>
  <si>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</si>
  <si>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</si>
  <si>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</si>
  <si>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</si>
  <si>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</si>
  <si>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</si>
  <si>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</si>
  <si>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</si>
  <si>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</si>
  <si>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</si>
  <si>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</si>
  <si>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</si>
  <si>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</si>
  <si>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</si>
  <si>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</si>
  <si>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</si>
  <si>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</si>
  <si>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</si>
  <si>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</si>
  <si>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</si>
  <si>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</si>
  <si>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</si>
  <si>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</si>
  <si>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</si>
  <si>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</si>
  <si>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</si>
  <si>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</si>
  <si>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</si>
  <si>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</si>
  <si>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</si>
  <si>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</si>
  <si>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</si>
  <si>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</si>
  <si>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</si>
  <si>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</si>
  <si>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</si>
  <si>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</si>
  <si>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</si>
  <si>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</si>
  <si>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</si>
  <si>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</si>
  <si>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</si>
  <si>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</si>
  <si>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</si>
  <si>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</si>
  <si>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</si>
  <si>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</si>
  <si>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</si>
  <si>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</si>
  <si>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</si>
  <si>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</si>
  <si>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</si>
  <si>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</si>
  <si>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</si>
  <si>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</si>
  <si>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</si>
  <si>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</si>
  <si>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</si>
  <si>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</si>
  <si>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</si>
  <si>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</si>
  <si>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</si>
  <si>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</si>
  <si>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</si>
  <si>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</si>
  <si>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</si>
  <si>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</si>
  <si>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</si>
  <si>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</si>
  <si>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</si>
  <si>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</si>
  <si>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</si>
  <si>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</si>
  <si>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</si>
  <si>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</si>
  <si>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</si>
  <si>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</si>
  <si>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</si>
  <si>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</si>
  <si>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</si>
  <si>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</si>
  <si>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</si>
  <si>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</si>
  <si>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</si>
  <si>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</si>
  <si>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</si>
  <si>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</si>
  <si>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</si>
  <si>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</si>
  <si>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</si>
  <si>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</si>
  <si>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</si>
  <si>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</si>
  <si>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</si>
  <si>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</si>
  <si>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</si>
  <si>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</si>
  <si>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</si>
  <si>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</si>
  <si>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</si>
  <si>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</si>
  <si>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</si>
  <si>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</si>
  <si>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</si>
  <si>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</si>
  <si>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</si>
  <si>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</si>
  <si>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</si>
  <si>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</si>
  <si>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</si>
  <si>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</si>
  <si>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</si>
  <si>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</si>
  <si>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</si>
  <si>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</si>
  <si>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</si>
  <si>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</si>
  <si>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</si>
  <si>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</si>
  <si>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</si>
  <si>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</si>
  <si>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</si>
  <si>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</si>
  <si>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</si>
  <si>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</si>
  <si>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</si>
  <si>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</si>
  <si>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</si>
  <si>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</si>
  <si>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</si>
  <si>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</si>
  <si>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</si>
  <si>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</si>
  <si>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</si>
  <si>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</si>
  <si>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</si>
  <si>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</si>
  <si>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</si>
  <si>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</si>
  <si>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</si>
  <si>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</si>
  <si>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</si>
  <si>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</si>
  <si>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</si>
  <si>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</si>
  <si>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</si>
  <si>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</si>
  <si>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</si>
  <si>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</si>
  <si>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</si>
  <si>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</si>
  <si>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</si>
  <si>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</si>
  <si>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</si>
  <si>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</si>
  <si>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</si>
  <si>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</si>
  <si>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</si>
  <si>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</si>
  <si>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</si>
  <si>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</si>
  <si>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</si>
  <si>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</si>
  <si>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</si>
  <si>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</si>
  <si>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</si>
  <si>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</si>
  <si>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</si>
  <si>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</si>
  <si>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</si>
  <si>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</si>
  <si>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</si>
  <si>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</si>
  <si>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</si>
  <si>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</si>
  <si>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</si>
  <si>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</si>
  <si>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</si>
  <si>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</si>
  <si>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</si>
  <si>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</si>
  <si>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</si>
  <si>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</si>
  <si>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</si>
  <si>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</si>
  <si>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</si>
  <si>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</si>
  <si>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</si>
  <si>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</si>
  <si>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</si>
  <si>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</si>
  <si>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</si>
  <si>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</si>
  <si>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</si>
  <si>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</si>
  <si>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</si>
  <si>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</si>
  <si>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</si>
  <si>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</si>
  <si>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</si>
  <si>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</si>
  <si>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</si>
  <si>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</si>
  <si>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</si>
  <si>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</si>
  <si>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</si>
  <si>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</si>
  <si>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</si>
  <si>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</si>
  <si>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</si>
  <si>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</si>
  <si>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</si>
  <si>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</si>
  <si>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</si>
  <si>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</si>
  <si>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</si>
  <si>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</si>
  <si>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</si>
  <si>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</si>
  <si>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</si>
  <si>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</si>
  <si>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</si>
  <si>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</si>
  <si>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</si>
  <si>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</si>
  <si>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</si>
  <si>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</si>
  <si>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</si>
  <si>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</si>
  <si>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</si>
  <si>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</si>
  <si>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</si>
  <si>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</si>
  <si>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</si>
  <si>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</si>
  <si>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</si>
  <si>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</si>
  <si>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</si>
  <si>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</si>
  <si>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</si>
  <si>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</si>
  <si>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</si>
  <si>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</si>
  <si>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</si>
  <si>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</si>
  <si>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</si>
  <si>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</si>
  <si>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</si>
  <si>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</si>
  <si>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</si>
  <si>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</si>
  <si>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</si>
  <si>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</si>
  <si>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</si>
  <si>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</si>
  <si>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</si>
  <si>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</si>
  <si>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</si>
  <si>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</si>
  <si>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</si>
  <si>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</si>
  <si>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</si>
  <si>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</si>
  <si>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</si>
  <si>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</si>
  <si>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</si>
  <si>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</si>
  <si>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</si>
  <si>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</si>
  <si>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</si>
  <si>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</si>
  <si>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</si>
  <si>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</si>
  <si>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</si>
  <si>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</si>
  <si>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</si>
  <si>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</si>
  <si>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</si>
  <si>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</si>
  <si>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</si>
  <si>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</si>
  <si>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</si>
  <si>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</si>
  <si>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</si>
  <si>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</si>
  <si>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</si>
  <si>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</si>
  <si>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</si>
  <si>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</si>
  <si>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</si>
  <si>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</si>
  <si>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</si>
  <si>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</si>
  <si>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</si>
  <si>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</si>
  <si>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</si>
  <si>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</si>
  <si>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</si>
  <si>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</si>
  <si>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</si>
  <si>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</si>
  <si>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</si>
  <si>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</si>
  <si>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</si>
  <si>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</si>
  <si>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</si>
  <si>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</si>
  <si>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</si>
  <si>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</si>
  <si>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</si>
  <si>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</si>
  <si>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</si>
  <si>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</si>
  <si>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</si>
  <si>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</si>
  <si>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</si>
  <si>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</si>
  <si>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</si>
  <si>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</si>
  <si>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</si>
  <si>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</si>
  <si>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</si>
  <si>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</si>
  <si>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</si>
  <si>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</si>
  <si>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</si>
  <si>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</si>
  <si>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</si>
  <si>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</si>
  <si>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</si>
  <si>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</si>
  <si>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</si>
  <si>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</si>
  <si>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</si>
  <si>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</si>
  <si>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</si>
  <si>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</si>
  <si>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</si>
  <si>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</si>
  <si>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</si>
  <si>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</si>
  <si>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</si>
  <si>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</si>
  <si>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</si>
  <si>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</si>
  <si>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</si>
  <si>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</si>
  <si>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</si>
  <si>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</si>
  <si>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</si>
  <si>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</si>
  <si>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</si>
  <si>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</si>
  <si>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</si>
  <si>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</si>
  <si>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</si>
  <si>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</si>
  <si>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</si>
  <si>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</si>
  <si>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</si>
  <si>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</si>
  <si>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</si>
  <si>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</si>
  <si>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</si>
  <si>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</si>
  <si>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</si>
  <si>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</si>
  <si>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</si>
  <si>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</si>
  <si>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</si>
  <si>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</si>
  <si>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</si>
  <si>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</si>
  <si>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</si>
  <si>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</si>
  <si>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</si>
  <si>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</si>
  <si>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</si>
  <si>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</si>
  <si>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</si>
  <si>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</si>
  <si>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</si>
  <si>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</si>
  <si>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</si>
  <si>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</si>
  <si>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</si>
  <si>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</si>
  <si>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</si>
  <si>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</si>
  <si>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</si>
  <si>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</si>
  <si>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</si>
  <si>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</si>
  <si>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</si>
  <si>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</si>
  <si>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</si>
  <si>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</si>
  <si>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</si>
  <si>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</si>
  <si>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</si>
  <si>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</si>
  <si>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</si>
  <si>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</si>
  <si>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</si>
  <si>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</si>
  <si>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</si>
  <si>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</si>
  <si>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</si>
  <si>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</si>
  <si>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</si>
  <si>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</si>
  <si>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</si>
  <si>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</si>
  <si>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</si>
  <si>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</si>
  <si>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</si>
  <si>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</si>
  <si>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</si>
  <si>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</si>
  <si>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</si>
  <si>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</si>
  <si>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</si>
  <si>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</si>
  <si>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</si>
  <si>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</si>
  <si>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</si>
  <si>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</si>
  <si>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</si>
  <si>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</si>
  <si>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</si>
  <si>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</si>
  <si>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</si>
  <si>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</si>
  <si>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</si>
  <si>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</si>
  <si>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</si>
  <si>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</si>
  <si>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</si>
  <si>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</si>
  <si>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</si>
  <si>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</si>
  <si>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</si>
  <si>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</si>
  <si>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</si>
  <si>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</si>
  <si>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</si>
  <si>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</si>
  <si>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</si>
  <si>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</si>
  <si>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</si>
  <si>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</si>
  <si>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</si>
  <si>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</si>
  <si>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</si>
  <si>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</si>
  <si>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</si>
  <si>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</si>
  <si>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</si>
  <si>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</si>
  <si>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</si>
  <si>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</si>
  <si>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</si>
  <si>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</si>
  <si>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</si>
  <si>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</si>
  <si>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</si>
  <si>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</si>
  <si>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</si>
  <si>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</si>
  <si>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</si>
  <si>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</si>
  <si>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</si>
  <si>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</si>
  <si>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</si>
  <si>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</si>
  <si>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</si>
  <si>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</si>
  <si>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</si>
  <si>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</si>
  <si>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</si>
  <si>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</si>
  <si>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</si>
  <si>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</si>
  <si>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</si>
  <si>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</si>
  <si>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</si>
  <si>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</si>
  <si>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</si>
  <si>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</si>
  <si>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</si>
  <si>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</si>
  <si>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</si>
  <si>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</si>
  <si>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</si>
  <si>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</si>
  <si>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</si>
  <si>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</si>
  <si>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</si>
  <si>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</si>
  <si>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</si>
  <si>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</si>
  <si>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</si>
  <si>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</si>
  <si>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</si>
  <si>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</si>
  <si>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</si>
  <si>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</si>
  <si>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</si>
  <si>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</si>
  <si>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</si>
  <si>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</si>
  <si>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</si>
  <si>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</si>
  <si>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</si>
  <si>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</si>
  <si>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</si>
  <si>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</si>
  <si>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</si>
  <si>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</si>
  <si>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</si>
  <si>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</si>
  <si>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</si>
  <si>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</si>
  <si>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</si>
  <si>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</si>
  <si>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</si>
  <si>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</si>
  <si>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</si>
  <si>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</si>
  <si>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</si>
  <si>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</si>
  <si>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</si>
  <si>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</si>
  <si>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</si>
  <si>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</si>
  <si>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</si>
  <si>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</si>
  <si>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</si>
  <si>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</si>
  <si>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</si>
  <si>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</si>
  <si>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</si>
  <si>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</si>
  <si>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</si>
  <si>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</si>
  <si>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</si>
  <si>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</si>
  <si>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</si>
  <si>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</si>
  <si>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</si>
  <si>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</si>
  <si>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</si>
  <si>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</si>
  <si>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</si>
  <si>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</si>
  <si>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</si>
  <si>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</si>
  <si>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</si>
  <si>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</si>
  <si>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</si>
  <si>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</si>
  <si>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</si>
  <si>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</si>
  <si>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</si>
  <si>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</si>
  <si>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</si>
  <si>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</si>
  <si>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</si>
  <si>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</si>
  <si>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</si>
  <si>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</si>
  <si>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</si>
  <si>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</si>
  <si>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</si>
  <si>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</si>
  <si>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</si>
  <si>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</si>
  <si>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</si>
  <si>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</si>
  <si>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</si>
  <si>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</si>
  <si>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</si>
  <si>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</si>
  <si>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</si>
  <si>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</si>
  <si>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</si>
  <si>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</si>
  <si>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</si>
  <si>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</si>
  <si>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</si>
  <si>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</si>
  <si>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</si>
  <si>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</si>
  <si>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</si>
  <si>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</si>
  <si>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</si>
  <si>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</si>
  <si>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</si>
  <si>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</si>
  <si>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</si>
  <si>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</si>
  <si>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</si>
  <si>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</si>
  <si>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</si>
  <si>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</si>
  <si>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</si>
  <si>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</si>
  <si>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</si>
  <si>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</si>
  <si>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</si>
  <si>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</si>
  <si>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</si>
  <si>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</si>
  <si>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</si>
  <si>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</si>
  <si>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</si>
  <si>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</si>
  <si>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</si>
  <si>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</si>
  <si>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</si>
  <si>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</si>
  <si>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</si>
  <si>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</si>
  <si>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</si>
  <si>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</si>
  <si>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</si>
  <si>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</si>
  <si>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</si>
  <si>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</si>
  <si>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</si>
  <si>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</si>
  <si>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</si>
  <si>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</si>
  <si>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</si>
  <si>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</si>
  <si>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</si>
  <si>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</si>
  <si>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</si>
  <si>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</si>
  <si>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</si>
  <si>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</si>
  <si>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</si>
  <si>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</si>
  <si>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</si>
  <si>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</si>
  <si>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</si>
  <si>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</si>
  <si>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</si>
  <si>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</si>
  <si>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</si>
  <si>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</si>
  <si>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</si>
  <si>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</si>
  <si>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</si>
  <si>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</si>
  <si>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</si>
  <si>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</si>
  <si>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</si>
  <si>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</si>
  <si>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</si>
  <si>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</si>
  <si>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</si>
  <si>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</si>
  <si>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</si>
  <si>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</si>
  <si>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</si>
  <si>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</si>
  <si>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</si>
  <si>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</si>
  <si>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</si>
  <si>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</si>
  <si>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</si>
  <si>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</si>
  <si>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</si>
  <si>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</si>
  <si>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</si>
  <si>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</si>
  <si>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</si>
  <si>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</si>
  <si>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</si>
  <si>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</si>
  <si>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</si>
  <si>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</si>
  <si>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</si>
  <si>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</si>
  <si>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</si>
  <si>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</si>
  <si>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</si>
  <si>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</si>
  <si>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</si>
  <si>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</si>
  <si>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</si>
  <si>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</si>
  <si>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</si>
  <si>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</si>
  <si>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</si>
  <si>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</si>
  <si>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</si>
  <si>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</si>
  <si>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</si>
  <si>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</si>
  <si>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</si>
  <si>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</si>
  <si>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</si>
  <si>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</si>
  <si>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</si>
  <si>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</si>
  <si>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</si>
  <si>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</si>
  <si>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</si>
  <si>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</si>
  <si>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</si>
  <si>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</si>
  <si>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</si>
  <si>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</si>
  <si>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</si>
  <si>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</si>
  <si>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</si>
  <si>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</si>
  <si>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</si>
  <si>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</si>
  <si>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</si>
  <si>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</si>
  <si>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</si>
  <si>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</si>
  <si>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</si>
  <si>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</si>
  <si>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</si>
  <si>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</si>
  <si>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</si>
  <si>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</si>
  <si>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</si>
  <si>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</si>
  <si>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</si>
  <si>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</si>
  <si>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</si>
  <si>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</si>
  <si>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</si>
  <si>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</si>
  <si>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</si>
  <si>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</si>
  <si>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</si>
  <si>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</si>
  <si>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</si>
  <si>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</si>
  <si>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</si>
  <si>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</si>
  <si>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</si>
  <si>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</si>
  <si>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</si>
  <si>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</si>
  <si>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</si>
  <si>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</si>
  <si>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</si>
  <si>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</si>
  <si>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</si>
  <si>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</si>
  <si>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</si>
  <si>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</si>
  <si>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</si>
  <si>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</si>
  <si>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</si>
  <si>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</si>
  <si>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</si>
  <si>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</si>
  <si>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</si>
  <si>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</si>
  <si>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</si>
  <si>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</si>
  <si>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</si>
  <si>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</si>
  <si>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</si>
  <si>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</si>
  <si>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</si>
  <si>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</si>
  <si>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</si>
  <si>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</si>
  <si>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</si>
  <si>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</si>
  <si>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</si>
  <si>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</si>
  <si>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</si>
  <si>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</si>
  <si>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</si>
  <si>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</si>
  <si>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</si>
  <si>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</si>
  <si>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</si>
  <si>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</si>
  <si>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</si>
  <si>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</si>
  <si>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</si>
  <si>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</si>
  <si>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</si>
  <si>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</si>
  <si>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</si>
  <si>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</si>
  <si>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</si>
  <si>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</si>
  <si>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</si>
  <si>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</si>
  <si>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</si>
  <si>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</si>
  <si>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</si>
  <si>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</si>
  <si>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</si>
  <si>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</si>
  <si>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</si>
  <si>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</si>
  <si>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</si>
  <si>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</si>
  <si>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</si>
  <si>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</si>
  <si>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</si>
  <si>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</si>
  <si>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</si>
  <si>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</si>
  <si>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</si>
  <si>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</si>
  <si>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</si>
  <si>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</si>
  <si>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</si>
  <si>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</si>
  <si>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</si>
  <si>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</si>
  <si>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</si>
  <si>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</si>
  <si>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</si>
  <si>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</si>
  <si>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</si>
  <si>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</si>
  <si>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</si>
  <si>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</si>
  <si>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</si>
  <si>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</si>
  <si>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</si>
  <si>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</si>
  <si>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</si>
  <si>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</si>
  <si>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</si>
  <si>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</si>
  <si>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</si>
  <si>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</si>
  <si>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</si>
  <si>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</si>
  <si>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</si>
  <si>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</si>
  <si>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</si>
  <si>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</si>
  <si>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</si>
  <si>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</si>
  <si>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</si>
  <si>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</si>
  <si>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</si>
  <si>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</si>
  <si>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</si>
  <si>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</si>
  <si>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</si>
  <si>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</si>
  <si>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</si>
  <si>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</si>
  <si>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</si>
  <si>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</si>
  <si>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</si>
  <si>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</si>
  <si>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</si>
  <si>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</si>
  <si>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</si>
  <si>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</si>
  <si>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</si>
  <si>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</si>
  <si>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</si>
  <si>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</si>
  <si>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</si>
  <si>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</si>
  <si>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</si>
  <si>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</si>
  <si>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</si>
  <si>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</si>
  <si>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</si>
  <si>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</si>
  <si>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</si>
  <si>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</si>
  <si>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</si>
  <si>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</si>
  <si>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</si>
  <si>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</si>
  <si>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</si>
  <si>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</si>
  <si>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</si>
  <si>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</si>
  <si>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</si>
  <si>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</si>
  <si>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</si>
  <si>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</si>
  <si>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</si>
  <si>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</si>
  <si>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</si>
  <si>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</si>
  <si>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</si>
  <si>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</si>
  <si>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</si>
  <si>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</si>
  <si>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</si>
  <si>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</si>
  <si>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</si>
  <si>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</si>
  <si>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</si>
  <si>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</si>
  <si>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</si>
  <si>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</si>
  <si>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</si>
  <si>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</si>
  <si>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</si>
  <si>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</si>
  <si>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</si>
  <si>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</si>
  <si>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</si>
  <si>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</si>
  <si>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</si>
  <si>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</si>
  <si>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</si>
  <si>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</si>
  <si>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</si>
  <si>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</si>
  <si>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</si>
  <si>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</si>
  <si>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</si>
  <si>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</si>
  <si>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</si>
  <si>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</si>
  <si>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</si>
  <si>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</si>
  <si>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</si>
  <si>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</si>
  <si>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</si>
  <si>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</si>
  <si>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</si>
  <si>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</si>
  <si>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</si>
  <si>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</si>
  <si>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</si>
  <si>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</si>
  <si>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</si>
  <si>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</si>
  <si>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</si>
  <si>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</si>
  <si>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</si>
  <si>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</si>
  <si>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</si>
  <si>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</si>
  <si>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</si>
  <si>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</si>
  <si>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</si>
  <si>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</si>
  <si>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</si>
  <si>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</si>
  <si>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</si>
  <si>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</si>
  <si>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</si>
  <si>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</si>
  <si>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</si>
  <si>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</si>
  <si>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</si>
  <si>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</si>
  <si>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</si>
  <si>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</si>
  <si>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</si>
  <si>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</si>
  <si>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</si>
  <si>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</si>
  <si>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</si>
  <si>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</si>
  <si>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</si>
  <si>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</si>
  <si>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</si>
  <si>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</si>
  <si>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</si>
  <si>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</si>
  <si>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2"/>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</si>
  <si>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</si>
  <si>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</si>
  <si>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</si>
  <si>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</si>
  <si>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</si>
  <si>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</si>
  <si>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</si>
  <si>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</si>
  <si>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</si>
  <si>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</si>
  <si>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</si>
  <si>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</si>
  <si>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</si>
  <si>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</si>
  <si>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</si>
  <si>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</si>
  <si>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</si>
  <si>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</si>
  <si>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</si>
  <si>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</si>
  <si>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</si>
  <si>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</si>
  <si>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</si>
  <si>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</si>
  <si>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</si>
  <si>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</si>
  <si>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</si>
  <si>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</si>
  <si>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</si>
  <si>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</si>
  <si>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</si>
  <si>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</si>
  <si>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</si>
  <si>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</si>
  <si>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</si>
  <si>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</si>
  <si>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</si>
  <si>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</si>
  <si>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</si>
  <si>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</si>
  <si>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</si>
  <si>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</si>
  <si>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</si>
  <si>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</si>
  <si>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</si>
  <si>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</si>
  <si>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</si>
  <si>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</si>
  <si>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</si>
  <si>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</si>
  <si>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</si>
  <si>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</si>
  <si>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</si>
  <si>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</si>
  <si>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</si>
  <si>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</si>
  <si>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</si>
  <si>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</si>
  <si>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</si>
  <si>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</si>
  <si>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</si>
  <si>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</si>
  <si>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</si>
  <si>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</si>
  <si>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</si>
  <si>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</si>
  <si>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</si>
  <si>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</si>
  <si>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</si>
  <si>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</si>
  <si>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</si>
  <si>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</si>
  <si>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</si>
  <si>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</si>
  <si>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</si>
  <si>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</si>
  <si>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</si>
  <si>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</si>
  <si>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</si>
  <si>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</si>
  <si>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</si>
  <si>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</si>
  <si>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</si>
  <si>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</si>
  <si>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</si>
  <si>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</si>
  <si>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</si>
  <si>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</si>
  <si>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</si>
  <si>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</si>
  <si>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</si>
  <si>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</si>
  <si>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</si>
  <si>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</si>
  <si>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</si>
  <si>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</si>
  <si>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</si>
  <si>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</si>
  <si>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</si>
  <si>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</si>
  <si>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</si>
  <si>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</si>
  <si>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</si>
  <si>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</si>
  <si>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</si>
  <si>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</si>
  <si>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</si>
  <si>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</si>
  <si>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</si>
  <si>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</si>
  <si>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</si>
  <si>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</si>
  <si>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</si>
  <si>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</si>
  <si>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</si>
  <si>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</si>
  <si>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</si>
  <si>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</si>
  <si>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</si>
  <si>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</si>
  <si>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</si>
  <si>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</si>
  <si>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</si>
  <si>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</si>
  <si>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</si>
  <si>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</si>
  <si>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</si>
  <si>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</si>
  <si>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</si>
  <si>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</si>
  <si>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</si>
  <si>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</si>
  <si>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</si>
  <si>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</si>
  <si>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</si>
  <si>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</si>
  <si>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</si>
  <si>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</si>
  <si>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</si>
  <si>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</si>
  <si>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</si>
  <si>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</si>
  <si>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</si>
  <si>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</si>
  <si>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</si>
  <si>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</si>
  <si>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</si>
  <si>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</si>
  <si>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</si>
  <si>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</si>
  <si>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</si>
  <si>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</si>
  <si>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</si>
  <si>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</si>
  <si>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</si>
  <si>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</si>
  <si>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</si>
  <si>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</si>
  <si>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</si>
  <si>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</si>
  <si>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</si>
  <si>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</si>
  <si>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</si>
  <si>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</si>
  <si>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</si>
  <si>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</si>
  <si>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</si>
  <si>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</si>
  <si>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</si>
  <si>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</si>
  <si>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</si>
  <si>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</si>
  <si>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</si>
  <si>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</si>
  <si>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</si>
  <si>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</si>
  <si>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</si>
  <si>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</si>
  <si>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</si>
  <si>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</si>
  <si>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</si>
  <si>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</si>
  <si>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</si>
  <si>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</si>
  <si>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</si>
  <si>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</si>
  <si>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</si>
  <si>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</si>
  <si>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</si>
  <si>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</si>
  <si>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</si>
  <si>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</si>
  <si>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</si>
  <si>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</si>
  <si>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</si>
  <si>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</si>
  <si>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</si>
  <si>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</si>
  <si>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</si>
  <si>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</si>
  <si>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</si>
  <si>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</si>
  <si>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</si>
  <si>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</si>
  <si>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</si>
  <si>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</si>
  <si>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</si>
  <si>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</si>
  <si>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</si>
  <si>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</si>
  <si>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</si>
  <si>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</si>
  <si>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</si>
  <si>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</si>
  <si>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</si>
  <si>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</si>
  <si>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</si>
  <si>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</si>
  <si>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</si>
  <si>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</si>
  <si>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</si>
  <si>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</si>
  <si>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</si>
  <si>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</si>
  <si>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</si>
  <si>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</si>
  <si>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</si>
  <si>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</si>
  <si>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</si>
  <si>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</si>
  <si>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</si>
  <si>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</si>
  <si>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</si>
  <si>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</si>
  <si>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</si>
  <si>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</si>
  <si>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</si>
  <si>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</si>
  <si>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</si>
  <si>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</si>
  <si>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</si>
  <si>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</si>
  <si>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</si>
  <si>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</si>
  <si>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</si>
  <si>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</si>
  <si>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</si>
  <si>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</si>
  <si>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</si>
  <si>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</si>
  <si>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</si>
  <si>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</si>
  <si>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</si>
  <si>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</si>
  <si>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</si>
  <si>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</si>
  <si>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</si>
  <si>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</si>
  <si>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</si>
  <si>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</si>
  <si>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</si>
  <si>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</si>
  <si>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</si>
  <si>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</si>
  <si>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</si>
  <si>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</si>
  <si>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</si>
  <si>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</si>
  <si>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</si>
  <si>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</si>
  <si>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</si>
  <si>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</si>
  <si>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</si>
  <si>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</si>
  <si>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</si>
  <si>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</si>
  <si>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</si>
  <si>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</si>
  <si>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</si>
  <si>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</si>
  <si>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</si>
  <si>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</si>
  <si>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</si>
  <si>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</si>
  <si>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</si>
  <si>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</si>
  <si>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</si>
  <si>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</si>
  <si>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</si>
  <si>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</si>
  <si>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</si>
  <si>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</si>
  <si>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</si>
  <si>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</si>
  <si>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</si>
  <si>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</si>
  <si>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</si>
  <si>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</si>
  <si>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</si>
  <si>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</si>
  <si>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</si>
  <si>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</si>
  <si>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</si>
  <si>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</si>
  <si>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</si>
  <si>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</si>
  <si>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</si>
  <si>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</si>
  <si>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</si>
  <si>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</si>
  <si>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</si>
  <si>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</si>
  <si>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</si>
  <si>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</si>
  <si>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</si>
  <si>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</si>
  <si>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</si>
  <si>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</si>
  <si>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</si>
  <si>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</si>
  <si>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</si>
  <si>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</si>
  <si>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</si>
  <si>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</si>
  <si>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</si>
  <si>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</si>
  <si>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</si>
  <si>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</si>
  <si>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</si>
  <si>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</si>
  <si>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</si>
  <si>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</si>
  <si>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</si>
  <si>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</si>
  <si>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</si>
  <si>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</si>
  <si>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</si>
  <si>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</si>
  <si>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</si>
  <si>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</si>
  <si>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</si>
  <si>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</si>
  <si>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</si>
  <si>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</si>
  <si>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</si>
  <si>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</si>
  <si>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</si>
  <si>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</si>
  <si>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</si>
  <si>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</si>
  <si>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</si>
  <si>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</si>
  <si>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</si>
  <si>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</si>
  <si>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</si>
  <si>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</si>
  <si>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</si>
  <si>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</si>
  <si>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</si>
  <si>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</si>
  <si>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</si>
  <si>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</si>
  <si>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</si>
  <si>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</si>
  <si>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</si>
  <si>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</si>
  <si>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</si>
  <si>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</si>
  <si>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</si>
  <si>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</si>
  <si>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</si>
  <si>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</si>
  <si>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</si>
  <si>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</si>
  <si>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</si>
  <si>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</si>
  <si>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</si>
  <si>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</si>
  <si>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</si>
  <si>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</si>
  <si>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</si>
  <si>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</si>
  <si>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</si>
  <si>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</si>
  <si>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</si>
  <si>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</si>
  <si>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</si>
  <si>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</si>
  <si>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</si>
  <si>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</si>
  <si>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</si>
  <si>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</si>
  <si>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</si>
  <si>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</si>
  <si>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</si>
  <si>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</si>
  <si>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</si>
  <si>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</si>
  <si>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</si>
  <si>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</si>
  <si>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</si>
  <si>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</si>
  <si>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</si>
  <si>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</si>
  <si>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</si>
  <si>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</si>
  <si>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</si>
  <si>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</si>
  <si>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</si>
  <si>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</si>
  <si>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</si>
  <si>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</si>
  <si>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</si>
  <si>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</si>
  <si>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</si>
  <si>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</si>
  <si>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</si>
  <si>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</si>
  <si>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</si>
  <si>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</si>
  <si>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</si>
  <si>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</si>
  <si>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</si>
  <si>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</si>
  <si>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</si>
  <si>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</si>
  <si>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</si>
  <si>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</si>
  <si>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</si>
  <si>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</si>
  <si>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</si>
  <si>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</si>
  <si>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</si>
  <si>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</si>
  <si>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</si>
  <si>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</si>
  <si>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</si>
  <si>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</si>
  <si>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</si>
  <si>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</si>
  <si>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</si>
  <si>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</si>
  <si>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</si>
  <si>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</si>
  <si>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</si>
  <si>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</si>
  <si>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</si>
  <si>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</si>
  <si>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</si>
  <si>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</si>
  <si>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</si>
  <si>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</si>
  <si>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</si>
  <si>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</si>
  <si>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</si>
  <si>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</si>
  <si>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</si>
  <si>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</si>
  <si>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</si>
  <si>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</si>
  <si>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</si>
  <si>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</si>
  <si>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</si>
  <si>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</si>
  <si>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</si>
  <si>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</si>
  <si>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</si>
  <si>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</si>
  <si>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</si>
  <si>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</si>
  <si>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</si>
  <si>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</si>
  <si>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</si>
  <si>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</si>
  <si>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</si>
  <si>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</si>
  <si>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</si>
  <si>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</si>
  <si>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</si>
  <si>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</si>
  <si>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</si>
  <si>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</si>
  <si>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</si>
  <si>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</si>
  <si>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</si>
  <si>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</si>
  <si>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</si>
  <si>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</si>
  <si>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</si>
  <si>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</si>
  <si>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</si>
  <si>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</si>
  <si>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</si>
  <si>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</si>
  <si>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</si>
  <si>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</si>
  <si>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</si>
  <si>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</si>
  <si>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</si>
  <si>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</si>
  <si>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</si>
  <si>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</si>
  <si>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</si>
  <si>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</si>
  <si>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</si>
  <si>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</si>
  <si>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</si>
  <si>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</si>
  <si>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</si>
  <si>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</si>
  <si>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</si>
  <si>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</si>
  <si>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</si>
  <si>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</si>
  <si>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</si>
  <si>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</si>
  <si>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</si>
  <si>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</si>
  <si>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</si>
  <si>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</si>
  <si>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</si>
  <si>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</si>
  <si>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</si>
  <si>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</si>
  <si>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</si>
  <si>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</si>
  <si>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</si>
  <si>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</si>
  <si>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</si>
  <si>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</si>
  <si>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</si>
  <si>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</si>
  <si>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</si>
  <si>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</si>
  <si>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</si>
  <si>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</si>
  <si>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</si>
  <si>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</si>
  <si>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</si>
  <si>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</si>
  <si>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</si>
  <si>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</si>
  <si>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</si>
  <si>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</si>
  <si>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</si>
  <si>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</si>
  <si>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</si>
  <si>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</si>
  <si>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</si>
  <si>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</si>
  <si>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</si>
  <si>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</si>
  <si>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</si>
  <si>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</si>
  <si>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</si>
  <si>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</si>
  <si>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</si>
  <si>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</si>
  <si>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</si>
  <si>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</si>
  <si>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</si>
  <si>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</si>
  <si>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</si>
  <si>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</si>
  <si>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</si>
  <si>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</si>
  <si>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</si>
  <si>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</si>
  <si>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</si>
  <si>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</si>
  <si>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</si>
  <si>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</si>
  <si>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</si>
  <si>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</si>
  <si>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</si>
  <si>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</si>
  <si>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</si>
  <si>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</si>
  <si>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</si>
  <si>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</si>
  <si>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</si>
  <si>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</si>
  <si>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</si>
  <si>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</si>
  <si>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</si>
  <si>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</si>
  <si>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</si>
  <si>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</si>
  <si>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</si>
  <si>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</si>
  <si>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</si>
  <si>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</si>
  <si>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</si>
  <si>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</si>
  <si>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</si>
  <si>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</si>
  <si>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</si>
  <si>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</si>
  <si>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</si>
  <si>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</si>
  <si>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</si>
  <si>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</si>
  <si>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</si>
  <si>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</si>
  <si>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</si>
  <si>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</si>
  <si>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</si>
  <si>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</si>
  <si>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</si>
  <si>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</si>
  <si>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</si>
  <si>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</si>
  <si>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</si>
  <si>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</si>
  <si>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</si>
  <si>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</si>
  <si>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</si>
  <si>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</si>
  <si>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</si>
  <si>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</si>
  <si>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</si>
  <si>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</si>
  <si>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</si>
  <si>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</si>
  <si>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</si>
  <si>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</si>
  <si>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</si>
  <si>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</si>
  <si>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</si>
  <si>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</si>
  <si>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</si>
  <si>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</si>
  <si>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</si>
  <si>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</si>
  <si>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</si>
  <si>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</si>
  <si>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</si>
  <si>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</si>
  <si>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</si>
  <si>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</si>
  <si>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</si>
  <si>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</si>
  <si>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</si>
  <si>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</si>
  <si>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</si>
  <si>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</si>
  <si>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</si>
  <si>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</si>
  <si>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</si>
  <si>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</si>
  <si>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</si>
  <si>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</si>
  <si>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</si>
  <si>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</si>
  <si>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</si>
  <si>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</si>
  <si>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</si>
  <si>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</si>
  <si>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</si>
  <si>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</si>
  <si>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</si>
  <si>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</si>
  <si>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</si>
  <si>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</si>
  <si>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</si>
  <si>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</si>
  <si>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</si>
  <si>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</si>
  <si>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</si>
  <si>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</si>
  <si>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</si>
  <si>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</si>
  <si>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</si>
  <si>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</si>
  <si>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</si>
  <si>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</si>
  <si>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</si>
  <si>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</si>
  <si>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</si>
  <si>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</si>
  <si>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</si>
  <si>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</si>
  <si>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</si>
  <si>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</si>
  <si>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</si>
  <si>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</si>
  <si>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</si>
  <si>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</si>
  <si>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</si>
  <si>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</si>
  <si>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</si>
  <si>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</si>
  <si>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</si>
  <si>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</si>
  <si>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</si>
  <si>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</si>
  <si>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</si>
  <si>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</si>
  <si>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</si>
  <si>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</si>
  <si>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</si>
  <si>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</si>
  <si>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</si>
  <si>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</si>
  <si>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</si>
  <si>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</si>
  <si>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</si>
  <si>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</si>
  <si>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</si>
  <si>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</si>
  <si>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</si>
  <si>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</si>
  <si>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</si>
  <si>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</si>
  <si>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</si>
  <si>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</si>
  <si>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</si>
  <si>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</si>
  <si>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</si>
  <si>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</si>
  <si>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</si>
  <si>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</si>
  <si>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</si>
  <si>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</si>
  <si>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</si>
  <si>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</si>
  <si>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</si>
  <si>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</si>
  <si>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</si>
  <si>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</si>
  <si>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</si>
  <si>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</si>
  <si>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</si>
  <si>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</si>
  <si>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</si>
  <si>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</si>
  <si>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</si>
  <si>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</si>
  <si>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</si>
  <si>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</si>
  <si>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</si>
  <si>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</si>
  <si>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</si>
  <si>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</si>
  <si>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</si>
  <si>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</si>
  <si>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</si>
  <si>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</si>
  <si>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</si>
  <si>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</si>
  <si>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</si>
  <si>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</si>
  <si>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</si>
  <si>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</si>
  <si>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</si>
  <si>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</si>
  <si>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</si>
  <si>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</si>
  <si>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</si>
  <si>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</si>
  <si>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</si>
  <si>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</si>
  <si>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</si>
  <si>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</si>
  <si>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</si>
  <si>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</si>
  <si>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</si>
  <si>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</si>
  <si>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</si>
  <si>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</si>
  <si>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</si>
  <si>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</si>
  <si>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</si>
  <si>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</si>
  <si>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</si>
  <si>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</si>
  <si>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</si>
  <si>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</si>
  <si>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</si>
  <si>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</si>
  <si>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</si>
  <si>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</si>
  <si>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</si>
  <si>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</si>
  <si>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</si>
  <si>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</si>
  <si>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</si>
  <si>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</si>
  <si>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</si>
  <si>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</si>
  <si>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</si>
  <si>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</si>
  <si>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</si>
  <si>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</si>
  <si>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</si>
  <si>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</si>
  <si>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</si>
  <si>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</si>
  <si>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</si>
  <si>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</si>
  <si>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</si>
  <si>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</si>
  <si>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</si>
  <si>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</si>
  <si>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</si>
  <si>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</si>
  <si>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</si>
  <si>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</si>
  <si>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</si>
  <si>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</si>
  <si>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</si>
  <si>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</si>
  <si>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</si>
  <si>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</si>
  <si>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</si>
  <si>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</si>
  <si>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</si>
  <si>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</si>
  <si>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</si>
  <si>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</si>
  <si>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</si>
  <si>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</si>
  <si>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</si>
  <si>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</si>
  <si>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</si>
  <si>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</si>
  <si>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</si>
  <si>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</si>
  <si>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</si>
  <si>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</si>
  <si>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</si>
  <si>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</si>
  <si>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</si>
  <si>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</si>
  <si>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</si>
  <si>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</si>
  <si>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</si>
  <si>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</si>
  <si>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</si>
  <si>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</si>
  <si>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</si>
  <si>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</si>
  <si>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</si>
  <si>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</si>
  <si>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</si>
  <si>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</si>
  <si>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</si>
  <si>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</si>
  <si>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</si>
  <si>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</si>
  <si>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</si>
  <si>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</si>
  <si>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</si>
  <si>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</si>
  <si>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</si>
  <si>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</si>
  <si>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</si>
  <si>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</si>
  <si>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</si>
  <si>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</si>
  <si>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</si>
  <si>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</si>
  <si>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</si>
  <si>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</si>
  <si>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</si>
  <si>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</si>
  <si>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</si>
  <si>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</si>
  <si>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</si>
  <si>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</si>
  <si>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</si>
  <si>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</si>
  <si>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</si>
  <si>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</si>
  <si>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</si>
  <si>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</si>
  <si>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</si>
  <si>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</si>
  <si>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</si>
  <si>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</si>
  <si>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</si>
  <si>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</si>
  <si>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</si>
  <si>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</si>
  <si>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</si>
  <si>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</si>
  <si>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</si>
  <si>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</si>
  <si>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</si>
  <si>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</si>
  <si>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</si>
  <si>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</si>
  <si>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</si>
  <si>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</si>
  <si>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</si>
  <si>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</si>
  <si>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</si>
  <si>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</si>
  <si>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</si>
  <si>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</si>
  <si>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</si>
  <si>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</si>
  <si>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</si>
  <si>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</si>
  <si>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</si>
  <si>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</si>
  <si>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</si>
  <si>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</si>
  <si>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</si>
  <si>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</si>
  <si>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</si>
  <si>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</si>
  <si>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</si>
  <si>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</si>
  <si>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</si>
  <si>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</si>
  <si>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</si>
  <si>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</si>
  <si>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</si>
  <si>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</si>
  <si>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</si>
  <si>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</si>
  <si>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</si>
  <si>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</si>
  <si>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</si>
  <si>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</si>
  <si>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</si>
  <si>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</si>
  <si>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</si>
  <si>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</si>
  <si>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</si>
  <si>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</si>
  <si>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</si>
  <si>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</si>
  <si>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</si>
  <si>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</si>
  <si>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</si>
  <si>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</si>
  <si>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</si>
  <si>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</si>
  <si>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</si>
  <si>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</si>
  <si>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</si>
  <si>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</si>
  <si>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</si>
  <si>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</si>
  <si>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</si>
  <si>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</si>
  <si>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</si>
  <si>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</si>
  <si>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</si>
  <si>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</si>
  <si>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</si>
  <si>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</si>
  <si>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</si>
  <si>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</si>
  <si>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</si>
  <si>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</si>
  <si>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</si>
  <si>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</si>
  <si>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</si>
  <si>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</si>
  <si>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</si>
  <si>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</si>
  <si>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</si>
  <si>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</si>
  <si>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</si>
  <si>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</si>
  <si>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</si>
  <si>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</si>
  <si>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</si>
  <si>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</si>
  <si>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</si>
  <si>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</si>
  <si>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</si>
  <si>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</si>
  <si>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</si>
  <si>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</si>
  <si>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</si>
  <si>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</si>
  <si>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</si>
  <si>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</si>
  <si>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</si>
  <si>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</si>
  <si>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</si>
  <si>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</si>
  <si>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</si>
  <si>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</si>
  <si>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</si>
  <si>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</si>
  <si>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</si>
  <si>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</si>
  <si>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</si>
  <si>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</si>
  <si>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</si>
  <si>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</si>
  <si>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</si>
  <si>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</si>
  <si>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</si>
  <si>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</si>
  <si>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</si>
  <si>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</si>
  <si>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</si>
  <si>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</si>
  <si>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</si>
  <si>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</si>
  <si>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</si>
  <si>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</si>
  <si>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</si>
  <si>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</si>
  <si>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</si>
  <si>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</si>
  <si>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</si>
  <si>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</si>
  <si>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</si>
  <si>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</si>
  <si>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</si>
  <si>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</si>
  <si>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</si>
  <si>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</si>
  <si>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</si>
  <si>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</si>
  <si>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</si>
  <si>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</si>
  <si>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</si>
  <si>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</si>
  <si>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</si>
  <si>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</si>
  <si>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</si>
  <si>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</si>
  <si>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</si>
  <si>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</si>
  <si>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</si>
  <si>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</si>
  <si>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</si>
  <si>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</si>
  <si>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</si>
  <si>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</si>
  <si>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</si>
  <si>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</si>
  <si>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</si>
  <si>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</si>
  <si>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</si>
  <si>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</si>
  <si>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</si>
  <si>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</si>
  <si>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</si>
  <si>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</si>
  <si>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</si>
  <si>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</si>
  <si>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</si>
  <si>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</si>
  <si>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</si>
  <si>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</si>
  <si>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</si>
  <si>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</si>
  <si>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</si>
  <si>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</si>
  <si>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</si>
  <si>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</si>
  <si>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</si>
  <si>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</si>
  <si>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</si>
  <si>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</si>
  <si>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</si>
  <si>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</si>
  <si>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</si>
  <si>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</si>
  <si>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</si>
  <si>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</si>
  <si>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</si>
  <si>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</si>
  <si>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</si>
  <si>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</si>
  <si>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</si>
  <si>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</si>
  <si>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</si>
  <si>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</si>
  <si>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</si>
  <si>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</si>
  <si>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</si>
  <si>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</si>
  <si>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</si>
  <si>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</si>
  <si>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</si>
  <si>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</si>
  <si>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</si>
  <si>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</si>
  <si>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</si>
  <si>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</si>
  <si>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</si>
  <si>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</si>
  <si>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</si>
  <si>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</si>
  <si>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</si>
  <si>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</si>
  <si>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</si>
  <si>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</si>
  <si>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</si>
  <si>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</si>
  <si>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</si>
  <si>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</si>
  <si>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</si>
  <si>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</si>
  <si>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</si>
  <si>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</si>
  <si>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</si>
  <si>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</si>
  <si>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</si>
  <si>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</si>
  <si>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</si>
  <si>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</si>
  <si>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</si>
  <si>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</si>
  <si>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</si>
  <si>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</si>
  <si>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</si>
  <si>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</si>
  <si>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</si>
  <si>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</si>
  <si>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</si>
  <si>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</si>
  <si>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</si>
  <si>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</si>
  <si>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</si>
  <si>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</si>
  <si>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</si>
  <si>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</si>
  <si>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</si>
  <si>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</si>
  <si>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</si>
  <si>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</si>
  <si>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</si>
  <si>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</si>
  <si>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</si>
  <si>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</si>
  <si>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</si>
  <si>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</si>
  <si>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</si>
  <si>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</si>
  <si>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</si>
  <si>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</si>
  <si>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</si>
  <si>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</si>
  <si>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</si>
  <si>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</si>
  <si>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</si>
  <si>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</si>
  <si>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</si>
  <si>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</si>
  <si>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</si>
  <si>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</si>
  <si>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</si>
  <si>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</si>
  <si>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</si>
  <si>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</si>
  <si>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</si>
  <si>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</si>
  <si>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</si>
  <si>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</si>
  <si>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</si>
  <si>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</si>
  <si>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</si>
  <si>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</si>
  <si>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</si>
  <si>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</si>
  <si>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</si>
  <si>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</si>
  <si>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</si>
  <si>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</si>
  <si>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</si>
  <si>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</si>
  <si>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</si>
  <si>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</si>
  <si>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</si>
  <si>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</si>
  <si>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</si>
  <si>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</si>
  <si>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</si>
  <si>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</si>
  <si>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</si>
  <si>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</si>
  <si>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</si>
  <si>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</si>
  <si>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</si>
  <si>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</si>
  <si>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</si>
  <si>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</si>
  <si>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</si>
  <si>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</si>
  <si>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</si>
  <si>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</si>
  <si>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</si>
  <si>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</si>
  <si>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</si>
  <si>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</si>
  <si>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</si>
  <si>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</si>
  <si>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</si>
  <si>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</si>
  <si>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</si>
  <si>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</si>
  <si>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</si>
  <si>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</si>
  <si>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</si>
  <si>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</si>
  <si>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</si>
  <si>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</si>
  <si>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</si>
  <si>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</si>
  <si>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</si>
  <si>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</si>
  <si>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</si>
  <si>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</si>
  <si>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</si>
  <si>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</si>
  <si>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</si>
  <si>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</si>
  <si>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</si>
  <si>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</si>
  <si>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</si>
  <si>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</si>
  <si>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</si>
  <si>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</si>
  <si>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</si>
  <si>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</si>
  <si>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</si>
  <si>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</si>
  <si>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</si>
  <si>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</si>
  <si>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</si>
  <si>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</si>
  <si>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</si>
  <si>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</si>
  <si>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</si>
  <si>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</si>
  <si>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</si>
  <si>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</si>
  <si>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</si>
  <si>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</si>
  <si>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</si>
  <si>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</si>
  <si>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</si>
  <si>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</si>
  <si>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</si>
  <si>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</si>
  <si>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</si>
  <si>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</si>
  <si>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</si>
  <si>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</si>
  <si>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</si>
  <si>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</si>
  <si>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</si>
  <si>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</si>
  <si>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</si>
  <si>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</si>
  <si>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</si>
  <si>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</si>
  <si>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</si>
  <si>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</si>
  <si>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</si>
  <si>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</si>
  <si>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</si>
  <si>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</si>
  <si>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</si>
  <si>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</si>
  <si>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</si>
  <si>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</si>
  <si>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</si>
  <si>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</si>
  <si>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</si>
  <si>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</si>
  <si>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</si>
  <si>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</si>
  <si>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</si>
  <si>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</si>
  <si>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</si>
  <si>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</si>
  <si>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</si>
  <si>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</si>
  <si>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</si>
  <si>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</si>
  <si>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</si>
  <si>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</si>
  <si>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</si>
  <si>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</si>
  <si>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</si>
  <si>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</si>
  <si>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</si>
  <si>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</si>
  <si>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</si>
  <si>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</si>
  <si>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</si>
  <si>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</si>
  <si>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</si>
  <si>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</si>
  <si>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</si>
  <si>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</si>
  <si>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</si>
  <si>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</si>
  <si>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</si>
  <si>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</si>
  <si>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</si>
  <si>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</si>
  <si>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</si>
  <si>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</si>
  <si>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</si>
  <si>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</si>
  <si>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</si>
  <si>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</si>
  <si>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</si>
  <si>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</si>
  <si>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</si>
  <si>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</si>
  <si>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</si>
  <si>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</si>
  <si>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</si>
  <si>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</si>
  <si>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</si>
  <si>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</si>
  <si>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</si>
  <si>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</si>
  <si>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</si>
  <si>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</si>
  <si>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</si>
  <si>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</si>
  <si>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</si>
  <si>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</si>
  <si>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</si>
  <si>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</si>
  <si>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</si>
  <si>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</si>
  <si>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</si>
  <si>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</si>
  <si>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</si>
  <si>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</si>
  <si>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</si>
  <si>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</si>
  <si>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</si>
  <si>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</si>
  <si>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</si>
  <si>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</si>
  <si>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</si>
  <si>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</si>
  <si>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</si>
  <si>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</si>
  <si>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</si>
  <si>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</si>
  <si>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</si>
  <si>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</si>
  <si>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</si>
  <si>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</si>
  <si>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</si>
  <si>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</si>
  <si>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</si>
  <si>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</si>
  <si>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</si>
  <si>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</si>
  <si>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03053059</t>
  </si>
  <si>
    <t>020019371</t>
  </si>
  <si>
    <t>08382999002</t>
  </si>
  <si>
    <t>KOMUNALNO DRUŠTVO PAG D.O.O.</t>
  </si>
  <si>
    <t>PAG</t>
  </si>
  <si>
    <t>ULICA BRAĆE FABIJANIĆ 1</t>
  </si>
  <si>
    <t>kdpag@email.t-com</t>
  </si>
  <si>
    <t>www.kd-pag.hr</t>
  </si>
  <si>
    <t>MARIJANA FABIJANIĆ</t>
  </si>
  <si>
    <t>023600872</t>
  </si>
  <si>
    <t>023611819</t>
  </si>
  <si>
    <t>racunovodstvo@kd-pag.hr</t>
  </si>
  <si>
    <t>IRENA BULJANOVIĆ</t>
  </si>
  <si>
    <t>DA</t>
  </si>
  <si>
    <t>12</t>
  </si>
  <si>
    <t>13</t>
  </si>
  <si>
    <t>14</t>
  </si>
  <si>
    <t>15</t>
  </si>
  <si>
    <t>4</t>
  </si>
  <si>
    <t>16</t>
  </si>
  <si>
    <t>17</t>
  </si>
  <si>
    <t>18</t>
  </si>
  <si>
    <t>6</t>
  </si>
  <si>
    <t>5</t>
  </si>
  <si>
    <t>7</t>
  </si>
  <si>
    <t>8</t>
  </si>
  <si>
    <t>9</t>
  </si>
  <si>
    <t>10</t>
  </si>
  <si>
    <t>11</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</si>
</sst>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10"/>
      <color indexed="56"/>
      <name val="Arial"/>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2"/>
    </font>
    <font>
      <b/>
      <sz val="8"/>
      <name val="Tahoma"/>
      <family val="2"/>
    </font>
    <font>
      <sz val="8"/>
      <color indexed="22"/>
      <name val="Arial"/>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2"/>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0" fillId="20" borderId="1" applyNumberFormat="0" applyFont="0" applyAlignment="0" applyProtection="0"/>
    <xf numFmtId="0" fontId="90" fillId="21" borderId="0" applyNumberFormat="0" applyBorder="0" applyAlignment="0" applyProtection="0"/>
    <xf numFmtId="0" fontId="4" fillId="0" borderId="0" applyNumberFormat="0" applyFill="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91" fillId="28" borderId="2" applyNumberFormat="0" applyAlignment="0" applyProtection="0"/>
    <xf numFmtId="0" fontId="92" fillId="28" borderId="3" applyNumberFormat="0" applyAlignment="0" applyProtection="0"/>
    <xf numFmtId="0" fontId="93" fillId="29" borderId="0" applyNumberFormat="0" applyBorder="0" applyAlignment="0" applyProtection="0"/>
    <xf numFmtId="0" fontId="94" fillId="0" borderId="0" applyNumberFormat="0" applyFill="0" applyBorder="0" applyAlignment="0" applyProtection="0"/>
    <xf numFmtId="0" fontId="95" fillId="0" borderId="4" applyNumberFormat="0" applyFill="0" applyAlignment="0" applyProtection="0"/>
    <xf numFmtId="0" fontId="96" fillId="0" borderId="5" applyNumberFormat="0" applyFill="0" applyAlignment="0" applyProtection="0"/>
    <xf numFmtId="0" fontId="97" fillId="0" borderId="6" applyNumberFormat="0" applyFill="0" applyAlignment="0" applyProtection="0"/>
    <xf numFmtId="0" fontId="97" fillId="0" borderId="0" applyNumberFormat="0" applyFill="0" applyBorder="0" applyAlignment="0" applyProtection="0"/>
    <xf numFmtId="0" fontId="98" fillId="30" borderId="0" applyNumberFormat="0" applyBorder="0" applyAlignment="0" applyProtection="0"/>
    <xf numFmtId="0" fontId="3" fillId="0" borderId="0">
      <alignment/>
      <protection/>
    </xf>
    <xf numFmtId="9" fontId="0" fillId="0" borderId="0" applyFont="0" applyFill="0" applyBorder="0" applyAlignment="0" applyProtection="0"/>
    <xf numFmtId="0" fontId="99" fillId="0" borderId="7" applyNumberFormat="0" applyFill="0" applyAlignment="0" applyProtection="0"/>
    <xf numFmtId="0" fontId="5" fillId="0" borderId="0" applyNumberFormat="0" applyFill="0" applyBorder="0" applyAlignment="0" applyProtection="0"/>
    <xf numFmtId="0" fontId="100" fillId="31" borderId="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1">
      <alignment/>
      <protection/>
    </xf>
    <xf numFmtId="0" fontId="23" fillId="0" borderId="19" xfId="51" applyFont="1" applyBorder="1" applyAlignment="1">
      <alignment horizontal="right" vertical="center"/>
      <protection/>
    </xf>
    <xf numFmtId="0" fontId="23" fillId="0" borderId="20" xfId="51"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1" applyFont="1" applyBorder="1" applyAlignment="1">
      <alignment horizontal="left" vertical="center"/>
      <protection/>
    </xf>
    <xf numFmtId="0" fontId="23" fillId="0" borderId="32" xfId="51" applyFont="1" applyBorder="1" applyAlignment="1">
      <alignment horizontal="left" vertical="center"/>
      <protection/>
    </xf>
    <xf numFmtId="0" fontId="32" fillId="37" borderId="33" xfId="51" applyFont="1" applyFill="1" applyBorder="1" applyAlignment="1">
      <alignment horizontal="center" vertical="center" wrapText="1"/>
      <protection/>
    </xf>
    <xf numFmtId="0" fontId="32" fillId="37" borderId="34" xfId="51" applyFont="1" applyFill="1" applyBorder="1" applyAlignment="1">
      <alignment horizontal="center" vertical="center" wrapText="1"/>
      <protection/>
    </xf>
    <xf numFmtId="0" fontId="39" fillId="0" borderId="35" xfId="51" applyFont="1" applyBorder="1" applyAlignment="1">
      <alignment horizontal="center" vertical="center"/>
      <protection/>
    </xf>
    <xf numFmtId="0" fontId="39" fillId="0" borderId="19" xfId="51" applyFont="1" applyBorder="1" applyAlignment="1">
      <alignment horizontal="center" vertical="center"/>
      <protection/>
    </xf>
    <xf numFmtId="0" fontId="40" fillId="0" borderId="19" xfId="51" applyFont="1" applyBorder="1" applyAlignment="1">
      <alignment horizontal="center" vertical="center"/>
      <protection/>
    </xf>
    <xf numFmtId="0" fontId="40" fillId="0" borderId="31" xfId="51" applyFont="1" applyBorder="1" applyAlignment="1">
      <alignment horizontal="left" vertical="center"/>
      <protection/>
    </xf>
    <xf numFmtId="0" fontId="40" fillId="0" borderId="20" xfId="51" applyFont="1" applyBorder="1" applyAlignment="1">
      <alignment horizontal="center" vertical="center"/>
      <protection/>
    </xf>
    <xf numFmtId="0" fontId="39" fillId="0" borderId="36" xfId="51" applyFont="1" applyBorder="1" applyAlignment="1">
      <alignment horizontal="left" vertical="center"/>
      <protection/>
    </xf>
    <xf numFmtId="0" fontId="39" fillId="0" borderId="31" xfId="51"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35" applyFont="1" applyFill="1" applyBorder="1" applyAlignment="1" applyProtection="1">
      <alignment horizontal="center" vertical="center" shrinkToFit="1"/>
      <protection/>
    </xf>
    <xf numFmtId="0" fontId="41" fillId="39" borderId="38" xfId="35" applyFont="1" applyFill="1" applyBorder="1" applyAlignment="1" applyProtection="1">
      <alignment horizontal="center" vertical="center" shrinkToFit="1"/>
      <protection/>
    </xf>
    <xf numFmtId="0" fontId="37" fillId="39" borderId="39" xfId="35" applyFont="1" applyFill="1" applyBorder="1" applyAlignment="1" applyProtection="1">
      <alignment horizontal="center" vertical="center" shrinkToFit="1"/>
      <protection/>
    </xf>
    <xf numFmtId="0" fontId="41" fillId="39" borderId="40" xfId="35" applyFont="1" applyFill="1" applyBorder="1" applyAlignment="1" applyProtection="1">
      <alignment horizontal="center" vertical="center" shrinkToFit="1"/>
      <protection/>
    </xf>
    <xf numFmtId="0" fontId="37" fillId="39" borderId="41" xfId="35" applyFont="1" applyFill="1" applyBorder="1" applyAlignment="1" applyProtection="1">
      <alignment horizontal="center" vertical="center" shrinkToFit="1"/>
      <protection/>
    </xf>
    <xf numFmtId="0" fontId="37" fillId="39" borderId="42" xfId="35" applyFont="1" applyFill="1" applyBorder="1" applyAlignment="1" applyProtection="1">
      <alignment horizontal="center" vertical="center" shrinkToFit="1"/>
      <protection/>
    </xf>
    <xf numFmtId="0" fontId="32"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35"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5" fillId="35" borderId="64" xfId="35" applyFont="1" applyFill="1" applyBorder="1" applyAlignment="1" applyProtection="1">
      <alignment vertical="center" wrapText="1"/>
      <protection/>
    </xf>
    <xf numFmtId="0" fontId="25" fillId="35" borderId="65" xfId="35" applyFont="1" applyFill="1" applyBorder="1" applyAlignment="1" applyProtection="1">
      <alignment vertical="center" wrapText="1"/>
      <protection/>
    </xf>
    <xf numFmtId="0" fontId="25" fillId="35" borderId="66" xfId="35" applyFont="1" applyFill="1" applyBorder="1" applyAlignment="1" applyProtection="1">
      <alignment vertical="center" wrapText="1"/>
      <protection/>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67" xfId="35" applyFont="1" applyFill="1" applyBorder="1" applyAlignment="1" applyProtection="1">
      <alignment vertical="center" wrapText="1"/>
      <protection/>
    </xf>
    <xf numFmtId="0" fontId="25" fillId="35" borderId="0" xfId="35" applyFont="1" applyFill="1" applyBorder="1" applyAlignment="1" applyProtection="1">
      <alignment vertical="center" wrapText="1"/>
      <protection/>
    </xf>
    <xf numFmtId="0" fontId="25" fillId="35" borderId="68" xfId="35"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5" fillId="35" borderId="69" xfId="35" applyFont="1" applyFill="1" applyBorder="1" applyAlignment="1" applyProtection="1">
      <alignment vertical="center" wrapText="1"/>
      <protection/>
    </xf>
    <xf numFmtId="0" fontId="23" fillId="35" borderId="70" xfId="35" applyFont="1" applyFill="1" applyBorder="1" applyAlignment="1" applyProtection="1">
      <alignment vertical="center" wrapText="1"/>
      <protection/>
    </xf>
    <xf numFmtId="0" fontId="23" fillId="35" borderId="71" xfId="35" applyFont="1" applyFill="1" applyBorder="1" applyAlignment="1" applyProtection="1">
      <alignment vertical="center" wrapText="1"/>
      <protection/>
    </xf>
    <xf numFmtId="0" fontId="52"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19"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0"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3" fillId="50" borderId="15" xfId="0" applyFont="1" applyFill="1" applyBorder="1" applyAlignment="1" applyProtection="1">
      <alignment horizontal="left" vertical="center" wrapText="1"/>
      <protection hidden="1"/>
    </xf>
    <xf numFmtId="0" fontId="25" fillId="50" borderId="25" xfId="0" applyFont="1" applyFill="1" applyBorder="1" applyAlignment="1" applyProtection="1">
      <alignment horizontal="left" vertical="center" wrapText="1"/>
      <protection hidden="1"/>
    </xf>
    <xf numFmtId="0" fontId="25" fillId="50"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2"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35"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35" applyFill="1" applyBorder="1" applyAlignment="1" applyProtection="1">
      <alignment/>
      <protection locked="0"/>
    </xf>
    <xf numFmtId="0" fontId="0" fillId="0" borderId="0" xfId="0" applyAlignment="1">
      <alignment horizontal="left" vertical="top" wrapText="1" indent="2"/>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76" xfId="0" applyFont="1" applyFill="1" applyBorder="1" applyAlignment="1">
      <alignment horizontal="left" vertical="center" wrapText="1"/>
    </xf>
    <xf numFmtId="0" fontId="13" fillId="0" borderId="76" xfId="0" applyFont="1" applyBorder="1" applyAlignment="1">
      <alignment vertical="center"/>
    </xf>
    <xf numFmtId="0" fontId="13"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6" xfId="0" applyFont="1" applyFill="1" applyBorder="1" applyAlignment="1" applyProtection="1">
      <alignment horizontal="center" vertical="center" wrapText="1"/>
      <protection hidden="1"/>
    </xf>
    <xf numFmtId="0" fontId="37" fillId="37" borderId="8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81"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0" fillId="0" borderId="80" xfId="0"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5"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5" fillId="0" borderId="74"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4" fillId="54" borderId="26" xfId="0" applyFont="1" applyFill="1" applyBorder="1" applyAlignment="1">
      <alignment vertical="center" wrapText="1"/>
    </xf>
    <xf numFmtId="0" fontId="0" fillId="0" borderId="80" xfId="0" applyFont="1" applyBorder="1" applyAlignment="1">
      <alignment vertical="center" wrapText="1"/>
    </xf>
    <xf numFmtId="0" fontId="15" fillId="0" borderId="82"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6" fillId="37" borderId="91" xfId="0" applyFont="1" applyFill="1" applyBorder="1" applyAlignment="1">
      <alignment horizontal="center" vertical="center"/>
    </xf>
    <xf numFmtId="0" fontId="36" fillId="37" borderId="92" xfId="0" applyFont="1" applyFill="1" applyBorder="1" applyAlignment="1">
      <alignment horizontal="center" vertical="center"/>
    </xf>
    <xf numFmtId="0" fontId="36" fillId="37" borderId="93" xfId="0" applyFont="1" applyFill="1" applyBorder="1" applyAlignment="1">
      <alignment horizontal="center" vertical="center"/>
    </xf>
    <xf numFmtId="0" fontId="37" fillId="37" borderId="94" xfId="0" applyFont="1" applyFill="1" applyBorder="1" applyAlignment="1">
      <alignment horizontal="center" vertical="center" wrapText="1"/>
    </xf>
    <xf numFmtId="0" fontId="38" fillId="37" borderId="95"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40" fillId="0" borderId="102"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37" fillId="38" borderId="103" xfId="0" applyFont="1" applyFill="1" applyBorder="1" applyAlignment="1" applyProtection="1">
      <alignment horizontal="center" vertical="center" wrapText="1"/>
      <protection hidden="1"/>
    </xf>
    <xf numFmtId="0" fontId="37" fillId="38" borderId="103"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104" xfId="0" applyFont="1" applyBorder="1" applyAlignment="1">
      <alignment vertical="center" wrapText="1"/>
    </xf>
    <xf numFmtId="0" fontId="40" fillId="0" borderId="81" xfId="0" applyFont="1" applyBorder="1" applyAlignment="1">
      <alignment vertical="center" wrapText="1"/>
    </xf>
    <xf numFmtId="0" fontId="40" fillId="0" borderId="82" xfId="0" applyFont="1" applyBorder="1" applyAlignment="1">
      <alignment vertical="center" wrapText="1"/>
    </xf>
    <xf numFmtId="0" fontId="40" fillId="0" borderId="105" xfId="51" applyFont="1" applyBorder="1" applyAlignment="1">
      <alignment horizontal="left" vertical="center"/>
      <protection/>
    </xf>
    <xf numFmtId="0" fontId="40" fillId="0" borderId="31" xfId="51" applyFont="1" applyBorder="1" applyAlignment="1">
      <alignment horizontal="left" vertical="center"/>
      <protection/>
    </xf>
    <xf numFmtId="0" fontId="40" fillId="0" borderId="106" xfId="51" applyFont="1" applyBorder="1" applyAlignment="1">
      <alignment horizontal="left" vertical="center"/>
      <protection/>
    </xf>
    <xf numFmtId="0" fontId="40" fillId="0" borderId="32" xfId="51" applyFont="1" applyBorder="1" applyAlignment="1">
      <alignment horizontal="left" vertical="center"/>
      <protection/>
    </xf>
    <xf numFmtId="0" fontId="39" fillId="0" borderId="102" xfId="51" applyFont="1" applyBorder="1" applyAlignment="1">
      <alignment horizontal="left" vertical="center"/>
      <protection/>
    </xf>
    <xf numFmtId="0" fontId="39" fillId="0" borderId="80" xfId="51"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107" xfId="51"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101" xfId="51" applyFont="1" applyBorder="1" applyAlignment="1">
      <alignment horizontal="left" vertical="center"/>
      <protection/>
    </xf>
    <xf numFmtId="0" fontId="39" fillId="0" borderId="77" xfId="51"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26" xfId="0" applyFont="1" applyFill="1" applyBorder="1" applyAlignment="1" applyProtection="1">
      <alignment horizontal="center"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75" xfId="0" applyFont="1" applyBorder="1" applyAlignment="1" applyProtection="1">
      <alignment vertical="center"/>
      <protection hidden="1"/>
    </xf>
    <xf numFmtId="0" fontId="11" fillId="0" borderId="76"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11" fillId="0" borderId="80"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81"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1" xfId="0" applyFont="1" applyFill="1" applyBorder="1" applyAlignment="1" applyProtection="1">
      <alignment vertical="center"/>
      <protection hidden="1"/>
    </xf>
    <xf numFmtId="0" fontId="11"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1" fillId="0" borderId="104" xfId="0" applyFont="1" applyBorder="1" applyAlignment="1" applyProtection="1">
      <alignment vertical="center" wrapText="1"/>
      <protection hidden="1"/>
    </xf>
    <xf numFmtId="0" fontId="22" fillId="0" borderId="81" xfId="0" applyFont="1" applyBorder="1" applyAlignment="1" applyProtection="1">
      <alignment wrapText="1"/>
      <protection hidden="1"/>
    </xf>
    <xf numFmtId="0" fontId="22"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Obično_Knjiga2"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2015</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4501063.16</v>
      </c>
      <c r="I3" s="27">
        <f>ABS(ROUND(J3,0)-J3)+ABS(ROUND(K3,0)-K3)</f>
        <v>0</v>
      </c>
      <c r="J3" s="75">
        <f>Bilanca!K11</f>
        <v>71152660</v>
      </c>
      <c r="K3" s="76">
        <f>Bilanca!L11</f>
        <v>76950249</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t="str">
        <f>IF(Bilanca!J12=0,"",Bilanca!J12)</f>
        <v>4</v>
      </c>
      <c r="H4" s="224">
        <f aca="true" t="shared" si="1" ref="H4:H44">J4/100*F4+2*K4/100*F4</f>
        <v>2587.2</v>
      </c>
      <c r="I4" s="77">
        <f>ABS(ROUND(J4,0)-J4)+ABS(ROUND(K4,0)-K4)</f>
        <v>0</v>
      </c>
      <c r="J4" s="75">
        <f>Bilanca!K12</f>
        <v>0</v>
      </c>
      <c r="K4" s="76">
        <f>Bilanca!L12</f>
        <v>43120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03053059</v>
      </c>
      <c r="C6" s="27"/>
      <c r="D6" s="27" t="s">
        <v>2272</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020019371</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08382999002</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KOMUNALNO DRUŠTVO PAG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23250</v>
      </c>
      <c r="C10" s="27"/>
      <c r="D10" s="27" t="s">
        <v>2272</v>
      </c>
      <c r="E10" s="27">
        <v>1</v>
      </c>
      <c r="F10" s="27">
        <f>Bilanca!I18</f>
        <v>9</v>
      </c>
      <c r="G10" s="27">
        <f>IF(Bilanca!J18=0,"",Bilanca!J18)</f>
      </c>
      <c r="H10" s="224">
        <f t="shared" si="1"/>
        <v>7761.599999999999</v>
      </c>
      <c r="I10" s="77">
        <f t="shared" si="2"/>
        <v>0</v>
      </c>
      <c r="J10" s="75">
        <f>Bilanca!K18</f>
        <v>0</v>
      </c>
      <c r="K10" s="76">
        <f>Bilanca!L18</f>
        <v>43120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PAG</v>
      </c>
      <c r="C11" s="27"/>
      <c r="D11" s="27" t="s">
        <v>2272</v>
      </c>
      <c r="E11" s="27">
        <v>1</v>
      </c>
      <c r="F11" s="27">
        <f>Bilanca!I19</f>
        <v>10</v>
      </c>
      <c r="G11" s="27" t="str">
        <f>IF(Bilanca!J19=0,"",Bilanca!J19)</f>
        <v>4</v>
      </c>
      <c r="H11" s="224">
        <f t="shared" si="1"/>
        <v>22377967.3</v>
      </c>
      <c r="I11" s="27">
        <f t="shared" si="2"/>
        <v>0</v>
      </c>
      <c r="J11" s="75">
        <f>Bilanca!K19</f>
        <v>70750245</v>
      </c>
      <c r="K11" s="76">
        <f>Bilanca!L19</f>
        <v>76514714</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ULICA BRAĆE FABIJANIĆ 1</v>
      </c>
      <c r="C12" s="27"/>
      <c r="D12" s="27" t="s">
        <v>2272</v>
      </c>
      <c r="E12" s="27">
        <v>1</v>
      </c>
      <c r="F12" s="27">
        <f>Bilanca!I20</f>
        <v>11</v>
      </c>
      <c r="G12" s="27">
        <f>IF(Bilanca!J20=0,"",Bilanca!J20)</f>
      </c>
      <c r="H12" s="224">
        <f t="shared" si="1"/>
        <v>266106.72000000003</v>
      </c>
      <c r="I12" s="77">
        <f t="shared" si="2"/>
        <v>0</v>
      </c>
      <c r="J12" s="75">
        <f>Bilanca!K20</f>
        <v>806384</v>
      </c>
      <c r="K12" s="76">
        <f>Bilanca!L20</f>
        <v>806384</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kdpag@email.t-com</v>
      </c>
      <c r="C13" s="27"/>
      <c r="D13" s="27" t="s">
        <v>2272</v>
      </c>
      <c r="E13" s="27">
        <v>1</v>
      </c>
      <c r="F13" s="27">
        <f>Bilanca!I21</f>
        <v>12</v>
      </c>
      <c r="G13" s="27">
        <f>IF(Bilanca!J21=0,"",Bilanca!J21)</f>
      </c>
      <c r="H13" s="224">
        <f t="shared" si="1"/>
        <v>10554479.16</v>
      </c>
      <c r="I13" s="27">
        <f t="shared" si="2"/>
        <v>0</v>
      </c>
      <c r="J13" s="75">
        <f>Bilanca!K21</f>
        <v>31489175</v>
      </c>
      <c r="K13" s="76">
        <f>Bilanca!L21</f>
        <v>28232409</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www.kd-pag.hr</v>
      </c>
      <c r="C14" s="27"/>
      <c r="D14" s="27" t="s">
        <v>2272</v>
      </c>
      <c r="E14" s="27">
        <v>1</v>
      </c>
      <c r="F14" s="27">
        <f>Bilanca!I22</f>
        <v>13</v>
      </c>
      <c r="G14" s="27">
        <f>IF(Bilanca!J22=0,"",Bilanca!J22)</f>
      </c>
      <c r="H14" s="224">
        <f t="shared" si="1"/>
        <v>432.9</v>
      </c>
      <c r="I14" s="77">
        <f t="shared" si="2"/>
        <v>0</v>
      </c>
      <c r="J14" s="75">
        <f>Bilanca!K22</f>
        <v>3330</v>
      </c>
      <c r="K14" s="76">
        <f>Bilanca!L22</f>
        <v>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13</v>
      </c>
      <c r="C15" s="27"/>
      <c r="D15" s="27" t="s">
        <v>2272</v>
      </c>
      <c r="E15" s="27">
        <v>1</v>
      </c>
      <c r="F15" s="27">
        <f>Bilanca!I23</f>
        <v>14</v>
      </c>
      <c r="G15" s="27">
        <f>IF(Bilanca!J23=0,"",Bilanca!J23)</f>
      </c>
      <c r="H15" s="224">
        <f t="shared" si="1"/>
        <v>126267.4</v>
      </c>
      <c r="I15" s="27">
        <f t="shared" si="2"/>
        <v>0</v>
      </c>
      <c r="J15" s="75">
        <f>Bilanca!K23</f>
        <v>257584</v>
      </c>
      <c r="K15" s="76">
        <f>Bilanca!L23</f>
        <v>322163</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316</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3600</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22525218.96</v>
      </c>
      <c r="I18" s="77">
        <f t="shared" si="2"/>
        <v>0</v>
      </c>
      <c r="J18" s="75">
        <f>Bilanca!K26</f>
        <v>38193772</v>
      </c>
      <c r="K18" s="76">
        <f>Bilanca!L26</f>
        <v>47153758</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24</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24</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20</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23</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t="str">
        <f>IF(Bilanca!J38=0,"",Bilanca!J38)</f>
        <v>6</v>
      </c>
      <c r="H30" s="224">
        <f t="shared" si="1"/>
        <v>344301.05000000005</v>
      </c>
      <c r="I30" s="77">
        <f t="shared" si="2"/>
        <v>0</v>
      </c>
      <c r="J30" s="75">
        <f>Bilanca!K38</f>
        <v>402415</v>
      </c>
      <c r="K30" s="76">
        <f>Bilanca!L38</f>
        <v>392415</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379918.4</v>
      </c>
      <c r="I33" s="27">
        <f t="shared" si="2"/>
        <v>0</v>
      </c>
      <c r="J33" s="75">
        <f>Bilanca!K41</f>
        <v>402415</v>
      </c>
      <c r="K33" s="76">
        <f>Bilanca!L41</f>
        <v>392415</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5755591.4</v>
      </c>
      <c r="I35" s="27">
        <f t="shared" si="2"/>
        <v>0</v>
      </c>
      <c r="J35" s="75">
        <f>Bilanca!K43</f>
        <v>6162940</v>
      </c>
      <c r="K35" s="76">
        <f>Bilanca!L43</f>
        <v>5382635</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t="str">
        <f>IF(Bilanca!J44=0,"",Bilanca!J44)</f>
        <v>5</v>
      </c>
      <c r="H36" s="224">
        <f t="shared" si="1"/>
        <v>460841.15</v>
      </c>
      <c r="I36" s="77">
        <f t="shared" si="2"/>
        <v>0</v>
      </c>
      <c r="J36" s="75">
        <f>Bilanca!K44</f>
        <v>456769</v>
      </c>
      <c r="K36" s="76">
        <f>Bilanca!L44</f>
        <v>429960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474008.04000000004</v>
      </c>
      <c r="I37" s="27">
        <f t="shared" si="2"/>
        <v>0</v>
      </c>
      <c r="J37" s="75">
        <f>Bilanca!K45</f>
        <v>456769</v>
      </c>
      <c r="K37" s="76">
        <f>Bilanca!L45</f>
        <v>429960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MARIJANA FABIJANIĆ</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023600872</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023611819</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racunovodstvo@kd-pag.hr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IRENA BULJANOVIĆ</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20150101</v>
      </c>
      <c r="C44" s="27"/>
      <c r="D44" s="27" t="s">
        <v>2272</v>
      </c>
      <c r="E44" s="27">
        <v>1</v>
      </c>
      <c r="F44" s="27">
        <f>Bilanca!I52</f>
        <v>43</v>
      </c>
      <c r="G44" s="27" t="str">
        <f>IF(Bilanca!J52=0,"",Bilanca!J52)</f>
        <v>6</v>
      </c>
      <c r="H44" s="224">
        <f t="shared" si="1"/>
        <v>5631410.72</v>
      </c>
      <c r="I44" s="77">
        <f t="shared" si="2"/>
        <v>0</v>
      </c>
      <c r="J44" s="75">
        <f>Bilanca!K52</f>
        <v>4862782</v>
      </c>
      <c r="K44" s="76">
        <f>Bilanca!L52</f>
        <v>4116761</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20151231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4728321.449999999</v>
      </c>
      <c r="I46" s="77">
        <f t="shared" si="4"/>
        <v>0</v>
      </c>
      <c r="J46" s="75">
        <f>Bilanca!K54</f>
        <v>4148449</v>
      </c>
      <c r="K46" s="76">
        <f>Bilanca!L54</f>
        <v>3179466</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147406.08</v>
      </c>
      <c r="I49" s="27">
        <f t="shared" si="4"/>
        <v>0</v>
      </c>
      <c r="J49" s="75">
        <f>Bilanca!K57</f>
        <v>235224</v>
      </c>
      <c r="K49" s="76">
        <f>Bilanca!L57</f>
        <v>35936</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1118095.23</v>
      </c>
      <c r="I50" s="77">
        <f t="shared" si="4"/>
        <v>0</v>
      </c>
      <c r="J50" s="75">
        <f>Bilanca!K58</f>
        <v>479109</v>
      </c>
      <c r="K50" s="76">
        <f>Bilanca!L58</f>
        <v>901359</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1122776308.5000002</v>
      </c>
      <c r="C59" s="27"/>
      <c r="D59" s="27" t="s">
        <v>2272</v>
      </c>
      <c r="E59" s="27">
        <v>1</v>
      </c>
      <c r="F59" s="27">
        <f>Bilanca!I67</f>
        <v>58</v>
      </c>
      <c r="G59" s="27" t="str">
        <f>IF(Bilanca!J67=0,"",Bilanca!J67)</f>
        <v>7</v>
      </c>
      <c r="H59" s="224">
        <f t="shared" si="3"/>
        <v>1458825.8599999999</v>
      </c>
      <c r="I59" s="27">
        <f t="shared" si="4"/>
        <v>0</v>
      </c>
      <c r="J59" s="75">
        <f>Bilanca!K67</f>
        <v>843389</v>
      </c>
      <c r="K59" s="76">
        <f>Bilanca!L67</f>
        <v>835914</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4931.8099999999995</v>
      </c>
      <c r="I60" s="77">
        <f t="shared" si="4"/>
        <v>0</v>
      </c>
      <c r="J60" s="75">
        <f>Bilanca!K68</f>
        <v>3761</v>
      </c>
      <c r="K60" s="76">
        <f>Bilanca!L68</f>
        <v>2299</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145193836.2</v>
      </c>
      <c r="I61" s="27">
        <f>ABS(ROUND(J61,0)-J61)+ABS(ROUND(K61,0)-K61)</f>
        <v>0</v>
      </c>
      <c r="J61" s="75">
        <f>Bilanca!K69</f>
        <v>77319361</v>
      </c>
      <c r="K61" s="76">
        <f>Bilanca!L69</f>
        <v>82335183</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2035129.58</v>
      </c>
      <c r="I62" s="77">
        <f>ABS(ROUND(J62,0)-J62)+ABS(ROUND(K62,0)-K62)</f>
        <v>0</v>
      </c>
      <c r="J62" s="75">
        <f>Bilanca!K70</f>
        <v>2136684</v>
      </c>
      <c r="K62" s="76">
        <f>Bilanca!L70</f>
        <v>599797</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t="str">
        <f>IF(Bilanca!J72=0,"",Bilanca!J72)</f>
        <v>8</v>
      </c>
      <c r="H63" s="224">
        <f>J63/100*F63+2*K63/100*F63</f>
        <v>10419782</v>
      </c>
      <c r="I63" s="27">
        <f>ABS(ROUND(J63,0)-J63)+ABS(ROUND(K63,0)-K63)</f>
        <v>0</v>
      </c>
      <c r="J63" s="75">
        <f>Bilanca!K72</f>
        <v>5904618</v>
      </c>
      <c r="K63" s="76">
        <f>Bilanca!L72</f>
        <v>5450741</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1294461</v>
      </c>
      <c r="I64" s="27">
        <f>ABS(ROUND(J64,0)-J64)+ABS(ROUND(K64,0)-K64)</f>
        <v>0</v>
      </c>
      <c r="J64" s="75">
        <f>Bilanca!K73</f>
        <v>684900</v>
      </c>
      <c r="K64" s="76">
        <f>Bilanca!L73</f>
        <v>684900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9307699.7</v>
      </c>
      <c r="I66" s="27">
        <f t="shared" si="6"/>
        <v>0</v>
      </c>
      <c r="J66" s="75">
        <f>Bilanca!K75</f>
        <v>5122808</v>
      </c>
      <c r="K66" s="76">
        <f>Bilanca!L75</f>
        <v>4598365</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10023676.6</v>
      </c>
      <c r="I71" s="27">
        <f t="shared" si="6"/>
        <v>0</v>
      </c>
      <c r="J71" s="75">
        <f>Bilanca!K80</f>
        <v>5122808</v>
      </c>
      <c r="K71" s="76">
        <f>Bilanca!L80</f>
        <v>4598365</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1323479.7600000002</v>
      </c>
      <c r="I72" s="27">
        <f t="shared" si="6"/>
        <v>0</v>
      </c>
      <c r="J72" s="75">
        <f>Bilanca!K81</f>
        <v>621352</v>
      </c>
      <c r="K72" s="76">
        <f>Bilanca!L81</f>
        <v>621352</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0</v>
      </c>
      <c r="I73" s="27">
        <f t="shared" si="6"/>
        <v>0</v>
      </c>
      <c r="J73" s="75">
        <f>Bilanca!K82</f>
        <v>0</v>
      </c>
      <c r="K73" s="76">
        <f>Bilanca!L82</f>
        <v>0</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-1074145.5</v>
      </c>
      <c r="I76" s="27">
        <f t="shared" si="6"/>
        <v>0</v>
      </c>
      <c r="J76" s="75">
        <f>Bilanca!K85</f>
        <v>-524442</v>
      </c>
      <c r="K76" s="76">
        <f>Bilanca!L85</f>
        <v>-453876</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0</v>
      </c>
      <c r="I77" s="27">
        <f t="shared" si="6"/>
        <v>0</v>
      </c>
      <c r="J77" s="75">
        <f>Bilanca!K86</f>
        <v>0</v>
      </c>
      <c r="K77" s="76">
        <f>Bilanca!L86</f>
        <v>0</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1102789.3800000001</v>
      </c>
      <c r="I78" s="27">
        <f t="shared" si="6"/>
        <v>0</v>
      </c>
      <c r="J78" s="75">
        <f>Bilanca!K87</f>
        <v>524442</v>
      </c>
      <c r="K78" s="76">
        <f>Bilanca!L87</f>
        <v>453876</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5446431.779999999</v>
      </c>
      <c r="I84" s="27">
        <f t="shared" si="6"/>
        <v>0</v>
      </c>
      <c r="J84" s="75">
        <f>Bilanca!K93</f>
        <v>2415538</v>
      </c>
      <c r="K84" s="76">
        <f>Bilanca!L93</f>
        <v>2073214</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t="str">
        <f>IF(Bilanca!J96=0,"",Bilanca!J96)</f>
        <v>9</v>
      </c>
      <c r="H87" s="224">
        <f t="shared" si="5"/>
        <v>5643290.76</v>
      </c>
      <c r="I87" s="27">
        <f t="shared" si="6"/>
        <v>0</v>
      </c>
      <c r="J87" s="75">
        <f>Bilanca!K96</f>
        <v>2415538</v>
      </c>
      <c r="K87" s="76">
        <f>Bilanca!L96</f>
        <v>2073214</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15762187.77</v>
      </c>
      <c r="I94" s="27">
        <f t="shared" si="6"/>
        <v>0</v>
      </c>
      <c r="J94" s="75">
        <f>Bilanca!K103</f>
        <v>4902207</v>
      </c>
      <c r="K94" s="76">
        <f>Bilanca!L103</f>
        <v>6023191</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t="str">
        <f>IF(Bilanca!J106=0,"",Bilanca!J106)</f>
        <v>9</v>
      </c>
      <c r="H97" s="224">
        <f t="shared" si="5"/>
        <v>969927.36</v>
      </c>
      <c r="I97" s="27">
        <f t="shared" si="6"/>
        <v>0</v>
      </c>
      <c r="J97" s="75">
        <f>Bilanca!K106</f>
        <v>337555</v>
      </c>
      <c r="K97" s="76">
        <f>Bilanca!L106</f>
        <v>336393</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t="str">
        <f>IF(Bilanca!J108=0,"",Bilanca!J108)</f>
        <v>10</v>
      </c>
      <c r="H99" s="224">
        <f aca="true" t="shared" si="8" ref="H99:H107">J99/100*F99+2*K99/100*F99</f>
        <v>5839232</v>
      </c>
      <c r="I99" s="27">
        <f aca="true" t="shared" si="9" ref="I99:I107">ABS(ROUND(J99,0)-J99)+ABS(ROUND(K99,0)-K99)</f>
        <v>0</v>
      </c>
      <c r="J99" s="75">
        <f>Bilanca!K108</f>
        <v>1919508</v>
      </c>
      <c r="K99" s="76">
        <f>Bilanca!L108</f>
        <v>2019446</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t="str">
        <f>IF(Bilanca!J111=0,"",Bilanca!J111)</f>
        <v>10</v>
      </c>
      <c r="H102" s="224">
        <f t="shared" si="8"/>
        <v>434463.62</v>
      </c>
      <c r="I102" s="27">
        <f t="shared" si="9"/>
        <v>0</v>
      </c>
      <c r="J102" s="75">
        <f>Bilanca!K111</f>
        <v>142504</v>
      </c>
      <c r="K102" s="76">
        <f>Bilanca!L111</f>
        <v>143829</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t="str">
        <f>IF(Bilanca!J112=0,"",Bilanca!J112)</f>
        <v>10</v>
      </c>
      <c r="H103" s="224">
        <f t="shared" si="8"/>
        <v>263538.42</v>
      </c>
      <c r="I103" s="27">
        <f t="shared" si="9"/>
        <v>0</v>
      </c>
      <c r="J103" s="75">
        <f>Bilanca!K112</f>
        <v>86311</v>
      </c>
      <c r="K103" s="76">
        <f>Bilanca!L112</f>
        <v>86030</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t="str">
        <f>IF(Bilanca!J115=0,"",Bilanca!J115)</f>
        <v>10</v>
      </c>
      <c r="H106" s="224">
        <f t="shared" si="8"/>
        <v>9755880.75</v>
      </c>
      <c r="I106" s="27">
        <f t="shared" si="9"/>
        <v>0</v>
      </c>
      <c r="J106" s="75">
        <f>Bilanca!K115</f>
        <v>2416329</v>
      </c>
      <c r="K106" s="76">
        <f>Bilanca!L115</f>
        <v>3437493</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t="str">
        <f>IF(Bilanca!J116=0,"",Bilanca!J116)</f>
        <v>11</v>
      </c>
      <c r="H107" s="224">
        <f t="shared" si="8"/>
        <v>213773456.32</v>
      </c>
      <c r="I107" s="27">
        <f t="shared" si="9"/>
        <v>0</v>
      </c>
      <c r="J107" s="75">
        <f>Bilanca!K116</f>
        <v>64096998</v>
      </c>
      <c r="K107" s="76">
        <f>Bilanca!L116</f>
        <v>68788037</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258929007.89</v>
      </c>
      <c r="I108" s="27">
        <f aca="true" t="shared" si="11" ref="I108:I113">ABS(ROUND(J108,0)-J108)+ABS(ROUND(K108,0)-K108)</f>
        <v>0</v>
      </c>
      <c r="J108" s="75">
        <f>Bilanca!K117</f>
        <v>77319361</v>
      </c>
      <c r="K108" s="76">
        <f>Bilanca!L117</f>
        <v>82335183</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3603180.24</v>
      </c>
      <c r="I109" s="27">
        <f t="shared" si="11"/>
        <v>0</v>
      </c>
      <c r="J109" s="75">
        <f>Bilanca!K118</f>
        <v>2136684</v>
      </c>
      <c r="K109" s="76">
        <f>Bilanca!L118</f>
        <v>599797</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33807994.83</v>
      </c>
      <c r="I112" s="27">
        <f t="shared" si="11"/>
        <v>0</v>
      </c>
      <c r="J112" s="75">
        <f>RDG!K9</f>
        <v>10374607</v>
      </c>
      <c r="K112" s="76">
        <f>RDG!L9</f>
        <v>10041523</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t="str">
        <f>IF(RDG!J10=0,"",RDG!J10)</f>
        <v>12</v>
      </c>
      <c r="H113" s="224">
        <f t="shared" si="10"/>
        <v>21942294.080000002</v>
      </c>
      <c r="I113" s="27">
        <f t="shared" si="11"/>
        <v>0</v>
      </c>
      <c r="J113" s="75">
        <f>RDG!K10</f>
        <v>6278540</v>
      </c>
      <c r="K113" s="76">
        <f>RDG!L10</f>
        <v>6656397</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t="str">
        <f>IF(RDG!J11=0,"",RDG!J11)</f>
        <v>13</v>
      </c>
      <c r="H114" s="224">
        <f aca="true" t="shared" si="12" ref="H114:H158">J114/100*F114+2*K114/100*F114</f>
        <v>12278940.47</v>
      </c>
      <c r="I114" s="27">
        <f aca="true" t="shared" si="13" ref="I114:I158">ABS(ROUND(J114,0)-J114)+ABS(ROUND(K114,0)-K114)</f>
        <v>0</v>
      </c>
      <c r="J114" s="75">
        <f>RDG!K11</f>
        <v>4096067</v>
      </c>
      <c r="K114" s="76">
        <f>RDG!L11</f>
        <v>3385126</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36131175.96</v>
      </c>
      <c r="I115" s="27">
        <f t="shared" si="13"/>
        <v>0</v>
      </c>
      <c r="J115" s="75">
        <f>RDG!K12</f>
        <v>10845092</v>
      </c>
      <c r="K115" s="76">
        <f>RDG!L12</f>
        <v>10424461</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t="str">
        <f>IF(RDG!J14=0,"",RDG!J14)</f>
        <v>14</v>
      </c>
      <c r="H117" s="224">
        <f t="shared" si="12"/>
        <v>10673714.479999999</v>
      </c>
      <c r="I117" s="27">
        <f t="shared" si="13"/>
        <v>0</v>
      </c>
      <c r="J117" s="75">
        <f>RDG!K14</f>
        <v>2859176</v>
      </c>
      <c r="K117" s="76">
        <f>RDG!L14</f>
        <v>3171151</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8054195.76</v>
      </c>
      <c r="I118" s="27">
        <f t="shared" si="13"/>
        <v>0</v>
      </c>
      <c r="J118" s="75">
        <f>RDG!K15</f>
        <v>2147742</v>
      </c>
      <c r="K118" s="76">
        <f>RDG!L15</f>
        <v>2368093</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2757884.5</v>
      </c>
      <c r="I120" s="27">
        <f t="shared" si="13"/>
        <v>0</v>
      </c>
      <c r="J120" s="75">
        <f>RDG!K17</f>
        <v>711434</v>
      </c>
      <c r="K120" s="76">
        <f>RDG!L17</f>
        <v>803058</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t="str">
        <f>IF(RDG!J18=0,"",RDG!J18)</f>
        <v>15</v>
      </c>
      <c r="H121" s="224">
        <f t="shared" si="12"/>
        <v>10342890</v>
      </c>
      <c r="I121" s="27">
        <f t="shared" si="13"/>
        <v>0</v>
      </c>
      <c r="J121" s="75">
        <f>RDG!K18</f>
        <v>2944629</v>
      </c>
      <c r="K121" s="76">
        <f>RDG!L18</f>
        <v>2837223</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6466383.99</v>
      </c>
      <c r="I122" s="27">
        <f t="shared" si="13"/>
        <v>0</v>
      </c>
      <c r="J122" s="75">
        <f>RDG!K19</f>
        <v>1785057</v>
      </c>
      <c r="K122" s="76">
        <f>RDG!L19</f>
        <v>1779531</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2461021.82</v>
      </c>
      <c r="I123" s="27">
        <f t="shared" si="13"/>
        <v>0</v>
      </c>
      <c r="J123" s="75">
        <f>RDG!K20</f>
        <v>734615</v>
      </c>
      <c r="K123" s="76">
        <f>RDG!L20</f>
        <v>641308</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1547001.75</v>
      </c>
      <c r="I124" s="27">
        <f t="shared" si="13"/>
        <v>0</v>
      </c>
      <c r="J124" s="75">
        <f>RDG!K21</f>
        <v>424957</v>
      </c>
      <c r="K124" s="76">
        <f>RDG!L21</f>
        <v>416384</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t="str">
        <f>IF(RDG!J22=0,"",RDG!J22)</f>
        <v>4</v>
      </c>
      <c r="H125" s="224">
        <f t="shared" si="12"/>
        <v>12938121.559999999</v>
      </c>
      <c r="I125" s="27">
        <f t="shared" si="13"/>
        <v>0</v>
      </c>
      <c r="J125" s="75">
        <f>RDG!K22</f>
        <v>3500003</v>
      </c>
      <c r="K125" s="76">
        <f>RDG!L22</f>
        <v>3466983</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t="str">
        <f>IF(RDG!J23=0,"",RDG!J23)</f>
        <v>16</v>
      </c>
      <c r="H126" s="224">
        <f t="shared" si="12"/>
        <v>2797411.25</v>
      </c>
      <c r="I126" s="27">
        <f t="shared" si="13"/>
        <v>0</v>
      </c>
      <c r="J126" s="75">
        <f>RDG!K23</f>
        <v>882109</v>
      </c>
      <c r="K126" s="76">
        <f>RDG!L23</f>
        <v>677910</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t="str">
        <f>IF(RDG!J24=0,"",RDG!J24)</f>
        <v>16</v>
      </c>
      <c r="H127" s="224">
        <f t="shared" si="12"/>
        <v>783496.98</v>
      </c>
      <c r="I127" s="27">
        <f t="shared" si="13"/>
        <v>0</v>
      </c>
      <c r="J127" s="75">
        <f>RDG!K24</f>
        <v>439921</v>
      </c>
      <c r="K127" s="76">
        <f>RDG!L24</f>
        <v>90951</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795933.44</v>
      </c>
      <c r="I129" s="27">
        <f t="shared" si="13"/>
        <v>0</v>
      </c>
      <c r="J129" s="75">
        <f>RDG!K26</f>
        <v>439921</v>
      </c>
      <c r="K129" s="76">
        <f>RDG!L26</f>
        <v>90951</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t="str">
        <f>IF(RDG!J28=0,"",RDG!J28)</f>
        <v>16</v>
      </c>
      <c r="H131" s="224">
        <f t="shared" si="12"/>
        <v>753662</v>
      </c>
      <c r="I131" s="27">
        <f t="shared" si="13"/>
        <v>0</v>
      </c>
      <c r="J131" s="75">
        <f>RDG!K28</f>
        <v>219254</v>
      </c>
      <c r="K131" s="76">
        <f>RDG!L28</f>
        <v>180243</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133177.22</v>
      </c>
      <c r="I132" s="27">
        <f t="shared" si="13"/>
        <v>0</v>
      </c>
      <c r="J132" s="75">
        <f>RDG!K29</f>
        <v>68262</v>
      </c>
      <c r="K132" s="76">
        <f>RDG!L29</f>
        <v>16700</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t="str">
        <f>IF(RDG!J31=0,"",RDG!J31)</f>
        <v>17</v>
      </c>
      <c r="H134" s="224">
        <f t="shared" si="12"/>
        <v>135210.46000000002</v>
      </c>
      <c r="I134" s="27">
        <f t="shared" si="13"/>
        <v>0</v>
      </c>
      <c r="J134" s="75">
        <f>RDG!K31</f>
        <v>68262</v>
      </c>
      <c r="K134" s="76">
        <f>RDG!L31</f>
        <v>16700</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407568.15</v>
      </c>
      <c r="I138" s="27">
        <f t="shared" si="13"/>
        <v>0</v>
      </c>
      <c r="J138" s="75">
        <f>RDG!K35</f>
        <v>122219</v>
      </c>
      <c r="K138" s="76">
        <f>RDG!L35</f>
        <v>87638</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t="str">
        <f>IF(RDG!J37=0,"",RDG!J37)</f>
        <v>17</v>
      </c>
      <c r="H140" s="224">
        <f t="shared" si="12"/>
        <v>413518.05</v>
      </c>
      <c r="I140" s="27">
        <f t="shared" si="13"/>
        <v>0</v>
      </c>
      <c r="J140" s="75">
        <f>RDG!K37</f>
        <v>122219</v>
      </c>
      <c r="K140" s="76">
        <f>RDG!L37</f>
        <v>87638</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44616599.9</v>
      </c>
      <c r="I147" s="27">
        <f t="shared" si="13"/>
        <v>0</v>
      </c>
      <c r="J147" s="75">
        <f>RDG!K44</f>
        <v>10442869</v>
      </c>
      <c r="K147" s="76">
        <f>RDG!L44</f>
        <v>10058223</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47027518.230000004</v>
      </c>
      <c r="I148" s="27">
        <f t="shared" si="13"/>
        <v>0</v>
      </c>
      <c r="J148" s="75">
        <f>RDG!K45</f>
        <v>10967311</v>
      </c>
      <c r="K148" s="76">
        <f>RDG!L45</f>
        <v>10512099</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-2119647.12</v>
      </c>
      <c r="I149" s="27">
        <f t="shared" si="13"/>
        <v>0</v>
      </c>
      <c r="J149" s="75">
        <f>RDG!K46</f>
        <v>-524442</v>
      </c>
      <c r="K149" s="76">
        <f>RDG!L46</f>
        <v>-453876</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0</v>
      </c>
      <c r="I150" s="27">
        <f t="shared" si="13"/>
        <v>0</v>
      </c>
      <c r="J150" s="75">
        <f>RDG!K47</f>
        <v>0</v>
      </c>
      <c r="K150" s="76">
        <f>RDG!L47</f>
        <v>0</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2148291</v>
      </c>
      <c r="I151" s="27">
        <f t="shared" si="13"/>
        <v>0</v>
      </c>
      <c r="J151" s="75">
        <f>RDG!K48</f>
        <v>524442</v>
      </c>
      <c r="K151" s="76">
        <f>RDG!L48</f>
        <v>453876</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0</v>
      </c>
      <c r="I152" s="27">
        <f t="shared" si="13"/>
        <v>0</v>
      </c>
      <c r="J152" s="75">
        <f>RDG!K49</f>
        <v>0</v>
      </c>
      <c r="K152" s="76">
        <f>RDG!L49</f>
        <v>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t="str">
        <f>IF(RDG!J50=0,"",RDG!J50)</f>
        <v>18</v>
      </c>
      <c r="H153" s="224">
        <f t="shared" si="12"/>
        <v>-2176934.88</v>
      </c>
      <c r="I153" s="27">
        <f t="shared" si="13"/>
        <v>0</v>
      </c>
      <c r="J153" s="75">
        <f>RDG!K50</f>
        <v>-524442</v>
      </c>
      <c r="K153" s="76">
        <f>RDG!L50</f>
        <v>-453876</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0</v>
      </c>
      <c r="I154" s="27">
        <f t="shared" si="13"/>
        <v>0</v>
      </c>
      <c r="J154" s="75">
        <f>RDG!K51</f>
        <v>0</v>
      </c>
      <c r="K154" s="76">
        <f>RDG!L51</f>
        <v>0</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2205578.7600000002</v>
      </c>
      <c r="I155" s="27">
        <f t="shared" si="13"/>
        <v>0</v>
      </c>
      <c r="J155" s="75">
        <f>RDG!K52</f>
        <v>524442</v>
      </c>
      <c r="K155" s="76">
        <f>RDG!L52</f>
        <v>453876</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01.01.2015. do 31.12.2015.</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03053059; KOMUNALNO DRUŠTVO PAG D.O.O.</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4" activePane="bottomLeft" state="frozen"/>
      <selection pane="topLeft" activeCell="A1" sqref="A1"/>
      <selection pane="bottomLeft" activeCell="C62" sqref="C62:J62"/>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1</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1829</v>
      </c>
      <c r="Q55" s="38">
        <f>IF(Bilanca!K69&gt;32500000,1,0)</f>
        <v>1</v>
      </c>
      <c r="R55" s="38">
        <f>IF(RDG!K44&gt;65000000,1,0)</f>
        <v>0</v>
      </c>
      <c r="S55" s="39">
        <f>IF(Opci!C53&gt;50,1,0)</f>
        <v>0</v>
      </c>
      <c r="T55" s="40" t="s">
        <v>1830</v>
      </c>
      <c r="U55" s="41">
        <f>IF(Bilanca!K69&gt;130000000,1,0)</f>
        <v>0</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KDPAG@EMAIL.T-COM</v>
      </c>
      <c r="N59" s="201" t="str">
        <f>UPPER(TRIM(Opci!C69))</f>
        <v>RACUNOVODSTVO@KD-PAG.HR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F:\[GFI-POD 2015 NOVI.xls]PodDop</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Upozorenje!!!</v>
      </c>
      <c r="C92" s="638" t="s">
        <v>2847</v>
      </c>
      <c r="D92" s="630"/>
      <c r="E92" s="630"/>
      <c r="F92" s="630"/>
      <c r="G92" s="630"/>
      <c r="H92" s="630"/>
      <c r="I92" s="630"/>
      <c r="J92" s="630"/>
      <c r="L92" s="35">
        <f>IF(OR(M92=1,N92=1,S92=1,T92=1),1,0)</f>
        <v>1</v>
      </c>
      <c r="M92" s="35">
        <f>IF(OR(Opci!C53&gt;1000,Opci!E53&gt;1000,Opci!C55&gt;1000,Opci!E55&gt;1000),1,0)</f>
        <v>0</v>
      </c>
      <c r="N92" s="35">
        <f>IF(MAX(O92:R92)&gt;15,1,0)</f>
        <v>1</v>
      </c>
      <c r="O92" s="35">
        <f>IF(Opci!C53+Opci!C55&gt;20,ABS(Opci!C53-Opci!C55)/(Opci!C53+Opci!C55)*200,0)</f>
        <v>18.181818181818183</v>
      </c>
      <c r="P92">
        <f>IF(Opci!E53+Opci!E55&gt;20,ABS(Opci!E53-Opci!E55)/(Opci!E53+Opci!E55)*200,0)</f>
        <v>4.25531914893617</v>
      </c>
      <c r="Q92">
        <f>IF(Opci!C53+Opci!E53&gt;20,ABS(Opci!C53-Opci!E53)/(Opci!C53+Opci!E53)*200,0)</f>
        <v>0</v>
      </c>
      <c r="R92">
        <f>IF(Opci!C55+Opci!E55,ABS(Opci!C55-Opci!E55)/(Opci!C55+Opci!E55)*200,0)</f>
        <v>13.953488372093023</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KOMUNALNO DRUŠTVO PAG D.O.O.</v>
      </c>
      <c r="B21" s="250"/>
      <c r="C21" s="250"/>
      <c r="D21" s="250"/>
      <c r="E21" s="250"/>
      <c r="F21" s="250"/>
      <c r="G21" s="250"/>
      <c r="H21" s="251"/>
      <c r="I21" s="252"/>
      <c r="J21" s="253"/>
    </row>
    <row r="22" spans="1:10" ht="13.5" customHeight="1">
      <c r="A22" s="255" t="str">
        <f>IF(Opci!C29&lt;&gt;"",MID(Opci!C29,1,30),"")</f>
        <v>ULICA BRAĆE FABIJANIĆ 1</v>
      </c>
      <c r="B22" s="249"/>
      <c r="C22" s="249"/>
      <c r="D22" s="249"/>
      <c r="E22" s="249"/>
      <c r="F22" s="249"/>
      <c r="G22" s="249"/>
      <c r="H22" s="80"/>
      <c r="I22" s="247"/>
      <c r="J22" s="246"/>
    </row>
    <row r="23" spans="1:10" ht="13.5" customHeight="1">
      <c r="A23" s="255" t="str">
        <f>IF(AND(Opci!C27&lt;&gt;"",Opci!F27&lt;&gt;""),MID(Opci!C27&amp;" "&amp;Opci!F27,1,30),"")</f>
        <v>23250 PAG</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0 8 3 8 2 9 9 9 0 0 2</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2015.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D1" sqref="D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3" activePane="bottomLeft" state="frozen"/>
      <selection pane="topLeft" activeCell="A1" sqref="A1"/>
      <selection pane="bottomLeft" activeCell="D1" sqref="D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2015</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2015</v>
      </c>
      <c r="P2" s="192">
        <f>IF(E5&lt;&gt;"",YEAR(E5)/100+MONTH(E5)/2+DAY(E5),0)</f>
        <v>21.65</v>
      </c>
      <c r="Q2" s="192">
        <f>IF(H5&lt;&gt;"",YEAR(H5)/100+MONTH(H5)/2+DAY(H5),0)</f>
        <v>57.15</v>
      </c>
      <c r="R2" s="192">
        <f>INT(VALUE(C17))</f>
        <v>10</v>
      </c>
      <c r="S2" s="192">
        <f>INT(VALUE(C19))/10</f>
        <v>305305.9</v>
      </c>
      <c r="T2" s="192">
        <f>INT(VALUE(C21))/50</f>
        <v>400387.42</v>
      </c>
      <c r="U2" s="192">
        <f>INT(VALUE(C23))/100</f>
        <v>83829990.02</v>
      </c>
      <c r="V2" s="192">
        <f>LEN(Skriveni!B9)</f>
        <v>28</v>
      </c>
      <c r="W2" s="192">
        <f>INT(VALUE(C27))/100</f>
        <v>232.5</v>
      </c>
      <c r="X2" s="192">
        <f>LEN(Skriveni!B11)</f>
        <v>3</v>
      </c>
      <c r="Y2" s="192">
        <f>LEN(Skriveni!B12)</f>
        <v>23</v>
      </c>
      <c r="Z2" s="192">
        <f>INT(VALUE(C35))</f>
        <v>316</v>
      </c>
      <c r="AA2" s="192">
        <f>INT(VALUE(C39))</f>
        <v>3600</v>
      </c>
      <c r="AB2" s="192">
        <f>IF(C41="DA",1,0)</f>
        <v>0</v>
      </c>
      <c r="AC2" s="192">
        <f>IF(C43="DA",1,0)</f>
        <v>0</v>
      </c>
      <c r="AD2" s="192">
        <f>INT(VALUE(C45))</f>
        <v>2</v>
      </c>
      <c r="AE2" s="192">
        <f>INT(VALUE(C47))</f>
        <v>1</v>
      </c>
      <c r="AF2" s="192">
        <f>INT(VALUE(C49))</f>
        <v>11</v>
      </c>
      <c r="AG2" s="192">
        <f>C51*2+E51</f>
        <v>200</v>
      </c>
      <c r="AH2" s="192">
        <f>C53+2*E53+3*C55+4*E55</f>
        <v>224</v>
      </c>
      <c r="AI2" s="192">
        <f>C57*2+E57</f>
        <v>36</v>
      </c>
      <c r="AJ2" s="192">
        <f>LEN(Skriveni!B43)</f>
        <v>16</v>
      </c>
      <c r="AK2" s="220">
        <f>INT(VALUE(E43))/100</f>
        <v>0</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42005</v>
      </c>
      <c r="F5" s="402"/>
      <c r="G5" s="146" t="s">
        <v>2278</v>
      </c>
      <c r="H5" s="401">
        <v>42369</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2015</v>
      </c>
      <c r="H14" s="450" t="s">
        <v>1010</v>
      </c>
      <c r="I14" s="451"/>
      <c r="J14" s="451"/>
      <c r="K14" s="97"/>
      <c r="L14" s="162"/>
      <c r="M14" s="162"/>
      <c r="N14" s="162"/>
    </row>
    <row r="15" spans="1:14" ht="19.5" customHeight="1">
      <c r="A15" s="452">
        <f>SUM(Skriveni!H2:H392)+SUM(P2:AK2)+SUM(Skriveni!AC2:AC101)</f>
        <v>1122776308.5000002</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23250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2979</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t="s">
        <v>2980</v>
      </c>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316</v>
      </c>
      <c r="D35" s="417" t="str">
        <f>IF(C35&lt;&gt;"",LOOKUP(C35,P29:P584,Q29:Q584),"Nije upisana općina!")</f>
        <v>Pag</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13</v>
      </c>
      <c r="D37" s="417" t="str">
        <f>IF(C37&lt;&gt;"",LOOKUP(C37,T29:T49,U29:U49),"")</f>
        <v>ZADARSKA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2608</v>
      </c>
      <c r="D39" s="422" t="str">
        <f>IF(C39&lt;&gt;"",LOOKUP(C39,Djel!A5:A621,Djel!B5:B621),"Djelatnost nije upisana!")</f>
        <v>Skupljanje, pročišćavanje i opskrba vodom</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50</v>
      </c>
      <c r="D43" s="217" t="s">
        <v>2689</v>
      </c>
      <c r="E43" s="424"/>
      <c r="F43" s="425"/>
      <c r="G43" s="46"/>
      <c r="H43" s="124" t="s">
        <v>2986</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NE</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1</v>
      </c>
      <c r="D47" s="391" t="str">
        <f>IF(C47&lt;&gt;"",LOOKUP(C47,Sifre!A6:A8,Sifre!B6:B8),"Veličina nije upisana")</f>
        <v>Mali poduzetnik</v>
      </c>
      <c r="E47" s="392"/>
      <c r="F47" s="392"/>
      <c r="G47" s="392"/>
      <c r="H47" s="124" t="s">
        <v>50</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50</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c r="F51" s="46"/>
      <c r="G51" s="97"/>
      <c r="H51" s="124" t="s">
        <v>50</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24</v>
      </c>
      <c r="D53" s="171"/>
      <c r="E53" s="190">
        <v>24</v>
      </c>
      <c r="F53" s="171"/>
      <c r="G53" s="97"/>
      <c r="H53" s="124" t="s">
        <v>2986</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20</v>
      </c>
      <c r="D55" s="171"/>
      <c r="E55" s="191">
        <v>23</v>
      </c>
      <c r="F55" s="171"/>
      <c r="G55" s="97"/>
      <c r="H55" s="124" t="s">
        <v>2986</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2981</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2982</v>
      </c>
      <c r="D67" s="428"/>
      <c r="E67" s="429"/>
      <c r="F67" s="97"/>
      <c r="G67" s="167" t="s">
        <v>1484</v>
      </c>
      <c r="H67" s="427" t="s">
        <v>2983</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2984</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2985</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3" activePane="bottomLeft" state="frozen"/>
      <selection pane="topLeft" activeCell="A1" sqref="A1"/>
      <selection pane="bottomLeft" activeCell="E1" sqref="E1"/>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31.12.2015.</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08382999002; KOMUNALNO DRUŠTVO PAG D.O.O.</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71152660</v>
      </c>
      <c r="L11" s="59">
        <f>L12+L19+L29+L38+L42</f>
        <v>76950249</v>
      </c>
    </row>
    <row r="12" spans="1:12" ht="13.5" customHeight="1">
      <c r="A12" s="483" t="s">
        <v>753</v>
      </c>
      <c r="B12" s="484"/>
      <c r="C12" s="484"/>
      <c r="D12" s="484"/>
      <c r="E12" s="484"/>
      <c r="F12" s="484"/>
      <c r="G12" s="484"/>
      <c r="H12" s="485"/>
      <c r="I12" s="4">
        <v>3</v>
      </c>
      <c r="J12" s="8" t="s">
        <v>2991</v>
      </c>
      <c r="K12" s="59">
        <f>SUM(K13:K18)</f>
        <v>0</v>
      </c>
      <c r="L12" s="59">
        <f>SUM(L13:L18)</f>
        <v>43120</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c r="L14" s="60"/>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c r="L18" s="60">
        <v>43120</v>
      </c>
    </row>
    <row r="19" spans="1:12" ht="13.5" customHeight="1">
      <c r="A19" s="483" t="s">
        <v>754</v>
      </c>
      <c r="B19" s="484"/>
      <c r="C19" s="484"/>
      <c r="D19" s="484"/>
      <c r="E19" s="484"/>
      <c r="F19" s="484"/>
      <c r="G19" s="484"/>
      <c r="H19" s="485"/>
      <c r="I19" s="4">
        <v>10</v>
      </c>
      <c r="J19" s="8" t="s">
        <v>2991</v>
      </c>
      <c r="K19" s="59">
        <f>SUM(K20:K28)</f>
        <v>70750245</v>
      </c>
      <c r="L19" s="59">
        <f>SUM(L20:L28)</f>
        <v>76514714</v>
      </c>
    </row>
    <row r="20" spans="1:12" ht="13.5" customHeight="1">
      <c r="A20" s="477" t="s">
        <v>1436</v>
      </c>
      <c r="B20" s="478"/>
      <c r="C20" s="478"/>
      <c r="D20" s="478"/>
      <c r="E20" s="478"/>
      <c r="F20" s="478"/>
      <c r="G20" s="478"/>
      <c r="H20" s="479"/>
      <c r="I20" s="4">
        <v>11</v>
      </c>
      <c r="J20" s="8"/>
      <c r="K20" s="60">
        <v>806384</v>
      </c>
      <c r="L20" s="60">
        <v>806384</v>
      </c>
    </row>
    <row r="21" spans="1:12" ht="13.5" customHeight="1">
      <c r="A21" s="477" t="s">
        <v>186</v>
      </c>
      <c r="B21" s="478"/>
      <c r="C21" s="478"/>
      <c r="D21" s="478"/>
      <c r="E21" s="478"/>
      <c r="F21" s="478"/>
      <c r="G21" s="478"/>
      <c r="H21" s="479"/>
      <c r="I21" s="4">
        <v>12</v>
      </c>
      <c r="J21" s="8"/>
      <c r="K21" s="60">
        <v>31489175</v>
      </c>
      <c r="L21" s="60">
        <v>28232409</v>
      </c>
    </row>
    <row r="22" spans="1:12" ht="13.5" customHeight="1">
      <c r="A22" s="477" t="s">
        <v>1437</v>
      </c>
      <c r="B22" s="478"/>
      <c r="C22" s="478"/>
      <c r="D22" s="478"/>
      <c r="E22" s="478"/>
      <c r="F22" s="478"/>
      <c r="G22" s="478"/>
      <c r="H22" s="479"/>
      <c r="I22" s="4">
        <v>13</v>
      </c>
      <c r="J22" s="8"/>
      <c r="K22" s="60">
        <v>3330</v>
      </c>
      <c r="L22" s="60"/>
    </row>
    <row r="23" spans="1:12" ht="13.5" customHeight="1">
      <c r="A23" s="477" t="s">
        <v>1273</v>
      </c>
      <c r="B23" s="478"/>
      <c r="C23" s="478"/>
      <c r="D23" s="478"/>
      <c r="E23" s="478"/>
      <c r="F23" s="478"/>
      <c r="G23" s="478"/>
      <c r="H23" s="479"/>
      <c r="I23" s="4">
        <v>14</v>
      </c>
      <c r="J23" s="8"/>
      <c r="K23" s="60">
        <v>257584</v>
      </c>
      <c r="L23" s="60">
        <v>322163</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v>38193772</v>
      </c>
      <c r="L26" s="60">
        <v>47153758</v>
      </c>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0</v>
      </c>
      <c r="L29" s="59">
        <f>SUM(L30:L37)</f>
        <v>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t="s">
        <v>2995</v>
      </c>
      <c r="K38" s="59">
        <f>SUM(K39:K41)</f>
        <v>402415</v>
      </c>
      <c r="L38" s="59">
        <f>SUM(L39:L41)</f>
        <v>392415</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v>402415</v>
      </c>
      <c r="L41" s="60">
        <v>392415</v>
      </c>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6162940</v>
      </c>
      <c r="L43" s="59">
        <f>L44+L52+L59+L67</f>
        <v>5382635</v>
      </c>
    </row>
    <row r="44" spans="1:12" ht="13.5" customHeight="1">
      <c r="A44" s="483" t="s">
        <v>319</v>
      </c>
      <c r="B44" s="484"/>
      <c r="C44" s="484"/>
      <c r="D44" s="484"/>
      <c r="E44" s="484"/>
      <c r="F44" s="484"/>
      <c r="G44" s="484"/>
      <c r="H44" s="485"/>
      <c r="I44" s="4">
        <v>35</v>
      </c>
      <c r="J44" s="8" t="s">
        <v>2996</v>
      </c>
      <c r="K44" s="59">
        <f>SUM(K45:K51)</f>
        <v>456769</v>
      </c>
      <c r="L44" s="59">
        <f>SUM(L45:L51)</f>
        <v>429960</v>
      </c>
    </row>
    <row r="45" spans="1:12" ht="13.5" customHeight="1">
      <c r="A45" s="477" t="s">
        <v>1485</v>
      </c>
      <c r="B45" s="478"/>
      <c r="C45" s="478"/>
      <c r="D45" s="478"/>
      <c r="E45" s="478"/>
      <c r="F45" s="478"/>
      <c r="G45" s="478"/>
      <c r="H45" s="479"/>
      <c r="I45" s="4">
        <v>36</v>
      </c>
      <c r="J45" s="8"/>
      <c r="K45" s="60">
        <v>456769</v>
      </c>
      <c r="L45" s="60">
        <v>429960</v>
      </c>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t="s">
        <v>2995</v>
      </c>
      <c r="K52" s="59">
        <f>SUM(K53:K58)</f>
        <v>4862782</v>
      </c>
      <c r="L52" s="59">
        <f>SUM(L53:L58)</f>
        <v>4116761</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c r="K54" s="60">
        <v>4148449</v>
      </c>
      <c r="L54" s="60">
        <v>3179466</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c r="L56" s="60"/>
    </row>
    <row r="57" spans="1:12" ht="13.5" customHeight="1">
      <c r="A57" s="477" t="s">
        <v>663</v>
      </c>
      <c r="B57" s="478"/>
      <c r="C57" s="478"/>
      <c r="D57" s="478"/>
      <c r="E57" s="478"/>
      <c r="F57" s="478"/>
      <c r="G57" s="478"/>
      <c r="H57" s="479"/>
      <c r="I57" s="4">
        <v>48</v>
      </c>
      <c r="J57" s="8"/>
      <c r="K57" s="60">
        <v>235224</v>
      </c>
      <c r="L57" s="60">
        <v>35936</v>
      </c>
    </row>
    <row r="58" spans="1:12" ht="13.5" customHeight="1">
      <c r="A58" s="477" t="s">
        <v>664</v>
      </c>
      <c r="B58" s="478"/>
      <c r="C58" s="478"/>
      <c r="D58" s="478"/>
      <c r="E58" s="478"/>
      <c r="F58" s="478"/>
      <c r="G58" s="478"/>
      <c r="H58" s="479"/>
      <c r="I58" s="4">
        <v>49</v>
      </c>
      <c r="J58" s="8"/>
      <c r="K58" s="60">
        <v>479109</v>
      </c>
      <c r="L58" s="60">
        <v>901359</v>
      </c>
    </row>
    <row r="59" spans="1:12" ht="13.5" customHeight="1">
      <c r="A59" s="483" t="s">
        <v>321</v>
      </c>
      <c r="B59" s="484"/>
      <c r="C59" s="484"/>
      <c r="D59" s="484"/>
      <c r="E59" s="484"/>
      <c r="F59" s="484"/>
      <c r="G59" s="484"/>
      <c r="H59" s="485"/>
      <c r="I59" s="4">
        <v>50</v>
      </c>
      <c r="J59" s="8"/>
      <c r="K59" s="59">
        <f>SUM(K60:K66)</f>
        <v>0</v>
      </c>
      <c r="L59" s="59">
        <f>SUM(L60:L66)</f>
        <v>0</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c r="L65" s="60"/>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t="s">
        <v>2997</v>
      </c>
      <c r="K67" s="60">
        <v>843389</v>
      </c>
      <c r="L67" s="60">
        <v>835914</v>
      </c>
    </row>
    <row r="68" spans="1:12" ht="13.5" customHeight="1">
      <c r="A68" s="499" t="s">
        <v>2848</v>
      </c>
      <c r="B68" s="500"/>
      <c r="C68" s="500"/>
      <c r="D68" s="500"/>
      <c r="E68" s="500"/>
      <c r="F68" s="500"/>
      <c r="G68" s="500"/>
      <c r="H68" s="501"/>
      <c r="I68" s="4">
        <v>59</v>
      </c>
      <c r="J68" s="8"/>
      <c r="K68" s="60">
        <v>3761</v>
      </c>
      <c r="L68" s="60">
        <v>2299</v>
      </c>
    </row>
    <row r="69" spans="1:12" ht="13.5" customHeight="1">
      <c r="A69" s="499" t="s">
        <v>2298</v>
      </c>
      <c r="B69" s="500"/>
      <c r="C69" s="500"/>
      <c r="D69" s="500"/>
      <c r="E69" s="500"/>
      <c r="F69" s="500"/>
      <c r="G69" s="500"/>
      <c r="H69" s="501"/>
      <c r="I69" s="4">
        <v>60</v>
      </c>
      <c r="J69" s="8"/>
      <c r="K69" s="59">
        <f>K10+K11+K43+K68</f>
        <v>77319361</v>
      </c>
      <c r="L69" s="59">
        <f>L10+L11+L43+L68</f>
        <v>82335183</v>
      </c>
    </row>
    <row r="70" spans="1:12" ht="13.5" customHeight="1">
      <c r="A70" s="519" t="s">
        <v>309</v>
      </c>
      <c r="B70" s="520"/>
      <c r="C70" s="520"/>
      <c r="D70" s="520"/>
      <c r="E70" s="520"/>
      <c r="F70" s="520"/>
      <c r="G70" s="520"/>
      <c r="H70" s="521"/>
      <c r="I70" s="5">
        <v>61</v>
      </c>
      <c r="J70" s="9"/>
      <c r="K70" s="61">
        <v>2136684</v>
      </c>
      <c r="L70" s="61">
        <v>599797</v>
      </c>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t="s">
        <v>2998</v>
      </c>
      <c r="K72" s="79">
        <f>K73+K74+K75+K81+K82+K85+K88</f>
        <v>5904618</v>
      </c>
      <c r="L72" s="79">
        <f>L73+L74+L75+L81+L82+L85+L88</f>
        <v>5450741</v>
      </c>
    </row>
    <row r="73" spans="1:12" ht="13.5" customHeight="1">
      <c r="A73" s="483" t="s">
        <v>2741</v>
      </c>
      <c r="B73" s="484"/>
      <c r="C73" s="484"/>
      <c r="D73" s="484"/>
      <c r="E73" s="484"/>
      <c r="F73" s="484"/>
      <c r="G73" s="484"/>
      <c r="H73" s="485"/>
      <c r="I73" s="4">
        <v>63</v>
      </c>
      <c r="J73" s="8"/>
      <c r="K73" s="60">
        <v>684900</v>
      </c>
      <c r="L73" s="60">
        <v>684900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c r="K75" s="59">
        <f>K76+K77-K78+K79+K80</f>
        <v>5122808</v>
      </c>
      <c r="L75" s="59">
        <f>L76+L77-L78+L79+L80</f>
        <v>4598365</v>
      </c>
    </row>
    <row r="76" spans="1:12" ht="13.5" customHeight="1">
      <c r="A76" s="477" t="s">
        <v>2744</v>
      </c>
      <c r="B76" s="478"/>
      <c r="C76" s="478"/>
      <c r="D76" s="478"/>
      <c r="E76" s="478"/>
      <c r="F76" s="478"/>
      <c r="G76" s="478"/>
      <c r="H76" s="479"/>
      <c r="I76" s="4">
        <v>66</v>
      </c>
      <c r="J76" s="8"/>
      <c r="K76" s="60"/>
      <c r="L76" s="60"/>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v>5122808</v>
      </c>
      <c r="L80" s="60">
        <v>4598365</v>
      </c>
    </row>
    <row r="81" spans="1:12" ht="13.5" customHeight="1">
      <c r="A81" s="483" t="s">
        <v>1542</v>
      </c>
      <c r="B81" s="484"/>
      <c r="C81" s="484"/>
      <c r="D81" s="484"/>
      <c r="E81" s="484"/>
      <c r="F81" s="484"/>
      <c r="G81" s="484"/>
      <c r="H81" s="485"/>
      <c r="I81" s="4">
        <v>71</v>
      </c>
      <c r="J81" s="8"/>
      <c r="K81" s="60">
        <v>621352</v>
      </c>
      <c r="L81" s="60">
        <v>621352</v>
      </c>
    </row>
    <row r="82" spans="1:12" ht="13.5" customHeight="1">
      <c r="A82" s="483" t="s">
        <v>2295</v>
      </c>
      <c r="B82" s="484"/>
      <c r="C82" s="484"/>
      <c r="D82" s="484"/>
      <c r="E82" s="484"/>
      <c r="F82" s="484"/>
      <c r="G82" s="484"/>
      <c r="H82" s="485"/>
      <c r="I82" s="4">
        <v>72</v>
      </c>
      <c r="J82" s="8"/>
      <c r="K82" s="59">
        <f>K83-K84</f>
        <v>0</v>
      </c>
      <c r="L82" s="59">
        <f>L83-L84</f>
        <v>0</v>
      </c>
    </row>
    <row r="83" spans="1:12" ht="13.5" customHeight="1">
      <c r="A83" s="486" t="s">
        <v>2824</v>
      </c>
      <c r="B83" s="487"/>
      <c r="C83" s="487"/>
      <c r="D83" s="487"/>
      <c r="E83" s="487"/>
      <c r="F83" s="487"/>
      <c r="G83" s="487"/>
      <c r="H83" s="488"/>
      <c r="I83" s="4">
        <v>73</v>
      </c>
      <c r="J83" s="8"/>
      <c r="K83" s="60"/>
      <c r="L83" s="60"/>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-524442</v>
      </c>
      <c r="L85" s="59">
        <f>L86-L87</f>
        <v>-453876</v>
      </c>
    </row>
    <row r="86" spans="1:12" ht="13.5" customHeight="1">
      <c r="A86" s="486" t="s">
        <v>2826</v>
      </c>
      <c r="B86" s="487"/>
      <c r="C86" s="487"/>
      <c r="D86" s="487"/>
      <c r="E86" s="487"/>
      <c r="F86" s="487"/>
      <c r="G86" s="487"/>
      <c r="H86" s="488"/>
      <c r="I86" s="4">
        <v>76</v>
      </c>
      <c r="J86" s="8"/>
      <c r="K86" s="60"/>
      <c r="L86" s="60"/>
    </row>
    <row r="87" spans="1:12" ht="13.5" customHeight="1">
      <c r="A87" s="486" t="s">
        <v>2827</v>
      </c>
      <c r="B87" s="487"/>
      <c r="C87" s="487"/>
      <c r="D87" s="487"/>
      <c r="E87" s="487"/>
      <c r="F87" s="487"/>
      <c r="G87" s="487"/>
      <c r="H87" s="488"/>
      <c r="I87" s="4">
        <v>77</v>
      </c>
      <c r="J87" s="8"/>
      <c r="K87" s="60">
        <v>524442</v>
      </c>
      <c r="L87" s="60">
        <v>453876</v>
      </c>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c r="K93" s="59">
        <f>SUM(K94:K102)</f>
        <v>2415538</v>
      </c>
      <c r="L93" s="59">
        <f>SUM(L94:L102)</f>
        <v>2073214</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t="s">
        <v>2999</v>
      </c>
      <c r="K96" s="60">
        <v>2415538</v>
      </c>
      <c r="L96" s="60">
        <v>2073214</v>
      </c>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4902207</v>
      </c>
      <c r="L103" s="59">
        <f>SUM(L104:L115)</f>
        <v>6023191</v>
      </c>
    </row>
    <row r="104" spans="1:12" ht="13.5" customHeight="1">
      <c r="A104" s="477" t="s">
        <v>2702</v>
      </c>
      <c r="B104" s="478"/>
      <c r="C104" s="478"/>
      <c r="D104" s="478"/>
      <c r="E104" s="478"/>
      <c r="F104" s="478"/>
      <c r="G104" s="478"/>
      <c r="H104" s="479"/>
      <c r="I104" s="4">
        <v>94</v>
      </c>
      <c r="J104" s="8"/>
      <c r="K104" s="60"/>
      <c r="L104" s="60"/>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t="s">
        <v>2999</v>
      </c>
      <c r="K106" s="60">
        <v>337555</v>
      </c>
      <c r="L106" s="60">
        <v>336393</v>
      </c>
    </row>
    <row r="107" spans="1:12" ht="13.5" customHeight="1">
      <c r="A107" s="477" t="s">
        <v>179</v>
      </c>
      <c r="B107" s="478"/>
      <c r="C107" s="478"/>
      <c r="D107" s="478"/>
      <c r="E107" s="478"/>
      <c r="F107" s="478"/>
      <c r="G107" s="478"/>
      <c r="H107" s="479"/>
      <c r="I107" s="4">
        <v>97</v>
      </c>
      <c r="J107" s="8"/>
      <c r="K107" s="60"/>
      <c r="L107" s="60"/>
    </row>
    <row r="108" spans="1:12" ht="13.5" customHeight="1">
      <c r="A108" s="477" t="s">
        <v>180</v>
      </c>
      <c r="B108" s="478"/>
      <c r="C108" s="478"/>
      <c r="D108" s="478"/>
      <c r="E108" s="478"/>
      <c r="F108" s="478"/>
      <c r="G108" s="478"/>
      <c r="H108" s="479"/>
      <c r="I108" s="4">
        <v>98</v>
      </c>
      <c r="J108" s="8" t="s">
        <v>3000</v>
      </c>
      <c r="K108" s="60">
        <v>1919508</v>
      </c>
      <c r="L108" s="60">
        <v>2019446</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t="s">
        <v>3000</v>
      </c>
      <c r="K111" s="60">
        <v>142504</v>
      </c>
      <c r="L111" s="60">
        <v>143829</v>
      </c>
    </row>
    <row r="112" spans="1:12" ht="13.5" customHeight="1">
      <c r="A112" s="477" t="s">
        <v>314</v>
      </c>
      <c r="B112" s="478"/>
      <c r="C112" s="478"/>
      <c r="D112" s="478"/>
      <c r="E112" s="478"/>
      <c r="F112" s="478"/>
      <c r="G112" s="478"/>
      <c r="H112" s="479"/>
      <c r="I112" s="4">
        <v>102</v>
      </c>
      <c r="J112" s="8" t="s">
        <v>3000</v>
      </c>
      <c r="K112" s="60">
        <v>86311</v>
      </c>
      <c r="L112" s="60">
        <v>86030</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t="s">
        <v>3000</v>
      </c>
      <c r="K115" s="60">
        <v>2416329</v>
      </c>
      <c r="L115" s="60">
        <v>3437493</v>
      </c>
    </row>
    <row r="116" spans="1:12" ht="13.5" customHeight="1">
      <c r="A116" s="499" t="s">
        <v>1525</v>
      </c>
      <c r="B116" s="500"/>
      <c r="C116" s="500"/>
      <c r="D116" s="500"/>
      <c r="E116" s="500"/>
      <c r="F116" s="500"/>
      <c r="G116" s="500"/>
      <c r="H116" s="501"/>
      <c r="I116" s="4">
        <v>106</v>
      </c>
      <c r="J116" s="8" t="s">
        <v>3001</v>
      </c>
      <c r="K116" s="60">
        <v>64096998</v>
      </c>
      <c r="L116" s="60">
        <v>68788037</v>
      </c>
    </row>
    <row r="117" spans="1:12" ht="13.5" customHeight="1">
      <c r="A117" s="499" t="s">
        <v>1271</v>
      </c>
      <c r="B117" s="500"/>
      <c r="C117" s="500"/>
      <c r="D117" s="500"/>
      <c r="E117" s="500"/>
      <c r="F117" s="500"/>
      <c r="G117" s="500"/>
      <c r="H117" s="501"/>
      <c r="I117" s="4">
        <v>107</v>
      </c>
      <c r="J117" s="8"/>
      <c r="K117" s="59">
        <f>K72+K89+K93+K103+K116</f>
        <v>77319361</v>
      </c>
      <c r="L117" s="59">
        <f>L72+L89+L93+L103+L116</f>
        <v>82335183</v>
      </c>
    </row>
    <row r="118" spans="1:12" ht="13.5" customHeight="1">
      <c r="A118" s="502" t="s">
        <v>2849</v>
      </c>
      <c r="B118" s="503"/>
      <c r="C118" s="503"/>
      <c r="D118" s="503"/>
      <c r="E118" s="503"/>
      <c r="F118" s="503"/>
      <c r="G118" s="503"/>
      <c r="H118" s="504"/>
      <c r="I118" s="5">
        <v>108</v>
      </c>
      <c r="J118" s="8"/>
      <c r="K118" s="61">
        <v>2136684</v>
      </c>
      <c r="L118" s="61">
        <v>599797</v>
      </c>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 activePane="bottomLeft" state="frozen"/>
      <selection pane="topLeft" activeCell="A1" sqref="A1"/>
      <selection pane="bottomLeft" activeCell="F1" sqref="F1"/>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01.01.2015. do 31.12.2015.</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08382999002; KOMUNALNO DRUŠTVO PAG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10374607</v>
      </c>
      <c r="L9" s="79">
        <f>SUM(L10:L11)</f>
        <v>10041523</v>
      </c>
    </row>
    <row r="10" spans="1:12" s="3" customFormat="1" ht="13.5" customHeight="1">
      <c r="A10" s="499" t="s">
        <v>1722</v>
      </c>
      <c r="B10" s="500"/>
      <c r="C10" s="500"/>
      <c r="D10" s="500"/>
      <c r="E10" s="500"/>
      <c r="F10" s="500"/>
      <c r="G10" s="500"/>
      <c r="H10" s="501"/>
      <c r="I10" s="4">
        <v>112</v>
      </c>
      <c r="J10" s="8" t="s">
        <v>2987</v>
      </c>
      <c r="K10" s="60">
        <v>6278540</v>
      </c>
      <c r="L10" s="60">
        <v>6656397</v>
      </c>
    </row>
    <row r="11" spans="1:12" s="3" customFormat="1" ht="13.5" customHeight="1">
      <c r="A11" s="499" t="s">
        <v>322</v>
      </c>
      <c r="B11" s="500"/>
      <c r="C11" s="500"/>
      <c r="D11" s="500"/>
      <c r="E11" s="500"/>
      <c r="F11" s="500"/>
      <c r="G11" s="500"/>
      <c r="H11" s="501"/>
      <c r="I11" s="4">
        <v>113</v>
      </c>
      <c r="J11" s="8" t="s">
        <v>2988</v>
      </c>
      <c r="K11" s="60">
        <v>4096067</v>
      </c>
      <c r="L11" s="60">
        <v>3385126</v>
      </c>
    </row>
    <row r="12" spans="1:12" s="3" customFormat="1" ht="13.5" customHeight="1">
      <c r="A12" s="499" t="s">
        <v>669</v>
      </c>
      <c r="B12" s="500"/>
      <c r="C12" s="500"/>
      <c r="D12" s="500"/>
      <c r="E12" s="500"/>
      <c r="F12" s="500"/>
      <c r="G12" s="500"/>
      <c r="H12" s="501"/>
      <c r="I12" s="4">
        <v>114</v>
      </c>
      <c r="J12" s="8"/>
      <c r="K12" s="59">
        <f>K13+K14+K18+K22+K23+K24+K27+K28</f>
        <v>10845092</v>
      </c>
      <c r="L12" s="59">
        <f>L13+L14+L18+L22+L23+L24+L27+L28</f>
        <v>10424461</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t="s">
        <v>2989</v>
      </c>
      <c r="K14" s="59">
        <f>SUM(K15:K17)</f>
        <v>2859176</v>
      </c>
      <c r="L14" s="59">
        <f>SUM(L15:L17)</f>
        <v>3171151</v>
      </c>
    </row>
    <row r="15" spans="1:12" s="3" customFormat="1" ht="13.5" customHeight="1">
      <c r="A15" s="477" t="s">
        <v>2463</v>
      </c>
      <c r="B15" s="478"/>
      <c r="C15" s="478"/>
      <c r="D15" s="478"/>
      <c r="E15" s="478"/>
      <c r="F15" s="478"/>
      <c r="G15" s="478"/>
      <c r="H15" s="479"/>
      <c r="I15" s="4">
        <v>117</v>
      </c>
      <c r="J15" s="8"/>
      <c r="K15" s="60">
        <v>2147742</v>
      </c>
      <c r="L15" s="60">
        <v>2368093</v>
      </c>
    </row>
    <row r="16" spans="1:12" s="3" customFormat="1" ht="13.5" customHeight="1">
      <c r="A16" s="477" t="s">
        <v>2464</v>
      </c>
      <c r="B16" s="478"/>
      <c r="C16" s="478"/>
      <c r="D16" s="478"/>
      <c r="E16" s="478"/>
      <c r="F16" s="478"/>
      <c r="G16" s="478"/>
      <c r="H16" s="479"/>
      <c r="I16" s="4">
        <v>118</v>
      </c>
      <c r="J16" s="8"/>
      <c r="K16" s="60"/>
      <c r="L16" s="60"/>
    </row>
    <row r="17" spans="1:12" s="3" customFormat="1" ht="13.5" customHeight="1">
      <c r="A17" s="477" t="s">
        <v>2663</v>
      </c>
      <c r="B17" s="478"/>
      <c r="C17" s="478"/>
      <c r="D17" s="478"/>
      <c r="E17" s="478"/>
      <c r="F17" s="478"/>
      <c r="G17" s="478"/>
      <c r="H17" s="479"/>
      <c r="I17" s="4">
        <v>119</v>
      </c>
      <c r="J17" s="8"/>
      <c r="K17" s="60">
        <v>711434</v>
      </c>
      <c r="L17" s="60">
        <v>803058</v>
      </c>
    </row>
    <row r="18" spans="1:12" s="3" customFormat="1" ht="13.5" customHeight="1">
      <c r="A18" s="499" t="s">
        <v>1269</v>
      </c>
      <c r="B18" s="500"/>
      <c r="C18" s="500"/>
      <c r="D18" s="500"/>
      <c r="E18" s="500"/>
      <c r="F18" s="500"/>
      <c r="G18" s="500"/>
      <c r="H18" s="501"/>
      <c r="I18" s="4">
        <v>120</v>
      </c>
      <c r="J18" s="8" t="s">
        <v>2990</v>
      </c>
      <c r="K18" s="59">
        <f>SUM(K19:K21)</f>
        <v>2944629</v>
      </c>
      <c r="L18" s="59">
        <f>SUM(L19:L21)</f>
        <v>2837223</v>
      </c>
    </row>
    <row r="19" spans="1:12" s="3" customFormat="1" ht="13.5" customHeight="1">
      <c r="A19" s="477" t="s">
        <v>2664</v>
      </c>
      <c r="B19" s="478"/>
      <c r="C19" s="478"/>
      <c r="D19" s="478"/>
      <c r="E19" s="478"/>
      <c r="F19" s="478"/>
      <c r="G19" s="478"/>
      <c r="H19" s="479"/>
      <c r="I19" s="4">
        <v>121</v>
      </c>
      <c r="J19" s="8"/>
      <c r="K19" s="60">
        <v>1785057</v>
      </c>
      <c r="L19" s="60">
        <v>1779531</v>
      </c>
    </row>
    <row r="20" spans="1:12" s="3" customFormat="1" ht="13.5" customHeight="1">
      <c r="A20" s="477" t="s">
        <v>2665</v>
      </c>
      <c r="B20" s="478"/>
      <c r="C20" s="478"/>
      <c r="D20" s="478"/>
      <c r="E20" s="478"/>
      <c r="F20" s="478"/>
      <c r="G20" s="478"/>
      <c r="H20" s="479"/>
      <c r="I20" s="4">
        <v>122</v>
      </c>
      <c r="J20" s="8"/>
      <c r="K20" s="60">
        <v>734615</v>
      </c>
      <c r="L20" s="60">
        <v>641308</v>
      </c>
    </row>
    <row r="21" spans="1:12" s="3" customFormat="1" ht="13.5" customHeight="1">
      <c r="A21" s="477" t="s">
        <v>2666</v>
      </c>
      <c r="B21" s="478"/>
      <c r="C21" s="478"/>
      <c r="D21" s="478"/>
      <c r="E21" s="478"/>
      <c r="F21" s="478"/>
      <c r="G21" s="478"/>
      <c r="H21" s="479"/>
      <c r="I21" s="4">
        <v>123</v>
      </c>
      <c r="J21" s="8"/>
      <c r="K21" s="60">
        <v>424957</v>
      </c>
      <c r="L21" s="60">
        <v>416384</v>
      </c>
    </row>
    <row r="22" spans="1:12" s="3" customFormat="1" ht="13.5" customHeight="1">
      <c r="A22" s="499" t="s">
        <v>324</v>
      </c>
      <c r="B22" s="500"/>
      <c r="C22" s="500"/>
      <c r="D22" s="500"/>
      <c r="E22" s="500"/>
      <c r="F22" s="500"/>
      <c r="G22" s="500"/>
      <c r="H22" s="501"/>
      <c r="I22" s="4">
        <v>124</v>
      </c>
      <c r="J22" s="8" t="s">
        <v>2991</v>
      </c>
      <c r="K22" s="60">
        <v>3500003</v>
      </c>
      <c r="L22" s="60">
        <v>3466983</v>
      </c>
    </row>
    <row r="23" spans="1:12" s="3" customFormat="1" ht="13.5" customHeight="1">
      <c r="A23" s="499" t="s">
        <v>325</v>
      </c>
      <c r="B23" s="500"/>
      <c r="C23" s="500"/>
      <c r="D23" s="500"/>
      <c r="E23" s="500"/>
      <c r="F23" s="500"/>
      <c r="G23" s="500"/>
      <c r="H23" s="501"/>
      <c r="I23" s="4">
        <v>125</v>
      </c>
      <c r="J23" s="8" t="s">
        <v>2992</v>
      </c>
      <c r="K23" s="60">
        <v>882109</v>
      </c>
      <c r="L23" s="60">
        <v>677910</v>
      </c>
    </row>
    <row r="24" spans="1:12" s="3" customFormat="1" ht="13.5" customHeight="1">
      <c r="A24" s="499" t="s">
        <v>1270</v>
      </c>
      <c r="B24" s="500"/>
      <c r="C24" s="500"/>
      <c r="D24" s="500"/>
      <c r="E24" s="500"/>
      <c r="F24" s="500"/>
      <c r="G24" s="500"/>
      <c r="H24" s="501"/>
      <c r="I24" s="4">
        <v>126</v>
      </c>
      <c r="J24" s="8" t="s">
        <v>2992</v>
      </c>
      <c r="K24" s="59">
        <f>SUM(K25:K26)</f>
        <v>439921</v>
      </c>
      <c r="L24" s="59">
        <f>SUM(L25:L26)</f>
        <v>90951</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v>439921</v>
      </c>
      <c r="L26" s="60">
        <v>90951</v>
      </c>
    </row>
    <row r="27" spans="1:12" s="3" customFormat="1" ht="13.5" customHeight="1">
      <c r="A27" s="499" t="s">
        <v>326</v>
      </c>
      <c r="B27" s="500"/>
      <c r="C27" s="500"/>
      <c r="D27" s="500"/>
      <c r="E27" s="500"/>
      <c r="F27" s="500"/>
      <c r="G27" s="500"/>
      <c r="H27" s="501"/>
      <c r="I27" s="4">
        <v>129</v>
      </c>
      <c r="J27" s="8"/>
      <c r="K27" s="60"/>
      <c r="L27" s="60"/>
    </row>
    <row r="28" spans="1:12" s="3" customFormat="1" ht="13.5" customHeight="1">
      <c r="A28" s="499" t="s">
        <v>1079</v>
      </c>
      <c r="B28" s="500"/>
      <c r="C28" s="500"/>
      <c r="D28" s="500"/>
      <c r="E28" s="500"/>
      <c r="F28" s="500"/>
      <c r="G28" s="500"/>
      <c r="H28" s="501"/>
      <c r="I28" s="4">
        <v>130</v>
      </c>
      <c r="J28" s="8" t="s">
        <v>2992</v>
      </c>
      <c r="K28" s="60">
        <v>219254</v>
      </c>
      <c r="L28" s="60">
        <v>180243</v>
      </c>
    </row>
    <row r="29" spans="1:12" s="3" customFormat="1" ht="13.5" customHeight="1">
      <c r="A29" s="499" t="s">
        <v>53</v>
      </c>
      <c r="B29" s="500"/>
      <c r="C29" s="500"/>
      <c r="D29" s="500"/>
      <c r="E29" s="500"/>
      <c r="F29" s="500"/>
      <c r="G29" s="500"/>
      <c r="H29" s="501"/>
      <c r="I29" s="4">
        <v>131</v>
      </c>
      <c r="J29" s="8"/>
      <c r="K29" s="59">
        <f>SUM(K30:K34)</f>
        <v>68262</v>
      </c>
      <c r="L29" s="59">
        <f>SUM(L30:L34)</f>
        <v>16700</v>
      </c>
    </row>
    <row r="30" spans="1:12" s="3" customFormat="1" ht="27.75" customHeight="1">
      <c r="A30" s="499" t="s">
        <v>82</v>
      </c>
      <c r="B30" s="500"/>
      <c r="C30" s="500"/>
      <c r="D30" s="500"/>
      <c r="E30" s="500"/>
      <c r="F30" s="500"/>
      <c r="G30" s="500"/>
      <c r="H30" s="501"/>
      <c r="I30" s="4">
        <v>132</v>
      </c>
      <c r="J30" s="8"/>
      <c r="K30" s="60"/>
      <c r="L30" s="60"/>
    </row>
    <row r="31" spans="1:12" s="3" customFormat="1" ht="27.75" customHeight="1">
      <c r="A31" s="499" t="s">
        <v>215</v>
      </c>
      <c r="B31" s="500"/>
      <c r="C31" s="500"/>
      <c r="D31" s="500"/>
      <c r="E31" s="500"/>
      <c r="F31" s="500"/>
      <c r="G31" s="500"/>
      <c r="H31" s="501"/>
      <c r="I31" s="4">
        <v>133</v>
      </c>
      <c r="J31" s="8" t="s">
        <v>2993</v>
      </c>
      <c r="K31" s="60">
        <v>68262</v>
      </c>
      <c r="L31" s="60">
        <v>16700</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c r="K35" s="59">
        <f>SUM(K36:K39)</f>
        <v>122219</v>
      </c>
      <c r="L35" s="59">
        <f>SUM(L36:L39)</f>
        <v>87638</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t="s">
        <v>2993</v>
      </c>
      <c r="K37" s="60">
        <v>122219</v>
      </c>
      <c r="L37" s="60">
        <v>87638</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c r="L42" s="60"/>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10442869</v>
      </c>
      <c r="L44" s="59">
        <f>L9+L29+L40+L42</f>
        <v>10058223</v>
      </c>
    </row>
    <row r="45" spans="1:12" s="3" customFormat="1" ht="13.5" customHeight="1">
      <c r="A45" s="499" t="s">
        <v>56</v>
      </c>
      <c r="B45" s="500"/>
      <c r="C45" s="500"/>
      <c r="D45" s="500"/>
      <c r="E45" s="500"/>
      <c r="F45" s="500"/>
      <c r="G45" s="500"/>
      <c r="H45" s="501"/>
      <c r="I45" s="4">
        <v>147</v>
      </c>
      <c r="J45" s="8"/>
      <c r="K45" s="59">
        <f>K12+K35+K41+K43</f>
        <v>10967311</v>
      </c>
      <c r="L45" s="59">
        <f>L12+L35+L41+L43</f>
        <v>10512099</v>
      </c>
    </row>
    <row r="46" spans="1:12" s="3" customFormat="1" ht="13.5" customHeight="1">
      <c r="A46" s="499" t="s">
        <v>1825</v>
      </c>
      <c r="B46" s="500"/>
      <c r="C46" s="500"/>
      <c r="D46" s="500"/>
      <c r="E46" s="500"/>
      <c r="F46" s="500"/>
      <c r="G46" s="500"/>
      <c r="H46" s="501"/>
      <c r="I46" s="4">
        <v>148</v>
      </c>
      <c r="J46" s="8"/>
      <c r="K46" s="59">
        <f>K44-K45</f>
        <v>-524442</v>
      </c>
      <c r="L46" s="59">
        <f>L44-L45</f>
        <v>-453876</v>
      </c>
    </row>
    <row r="47" spans="1:12" s="3" customFormat="1" ht="13.5" customHeight="1">
      <c r="A47" s="486" t="s">
        <v>58</v>
      </c>
      <c r="B47" s="487"/>
      <c r="C47" s="487"/>
      <c r="D47" s="487"/>
      <c r="E47" s="487"/>
      <c r="F47" s="487"/>
      <c r="G47" s="487"/>
      <c r="H47" s="488"/>
      <c r="I47" s="4">
        <v>149</v>
      </c>
      <c r="J47" s="8"/>
      <c r="K47" s="59">
        <f>IF(K44&gt;K45,K44-K45,0)</f>
        <v>0</v>
      </c>
      <c r="L47" s="59">
        <f>IF(L44&gt;L45,L44-L45,0)</f>
        <v>0</v>
      </c>
    </row>
    <row r="48" spans="1:12" s="3" customFormat="1" ht="13.5" customHeight="1">
      <c r="A48" s="486" t="s">
        <v>59</v>
      </c>
      <c r="B48" s="487"/>
      <c r="C48" s="487"/>
      <c r="D48" s="487"/>
      <c r="E48" s="487"/>
      <c r="F48" s="487"/>
      <c r="G48" s="487"/>
      <c r="H48" s="488"/>
      <c r="I48" s="4">
        <v>150</v>
      </c>
      <c r="J48" s="8"/>
      <c r="K48" s="59">
        <f>IF(K45&gt;K44,K45-K44,0)</f>
        <v>524442</v>
      </c>
      <c r="L48" s="59">
        <f>IF(L45&gt;L44,L45-L44,0)</f>
        <v>453876</v>
      </c>
    </row>
    <row r="49" spans="1:12" s="3" customFormat="1" ht="13.5" customHeight="1">
      <c r="A49" s="499" t="s">
        <v>57</v>
      </c>
      <c r="B49" s="500"/>
      <c r="C49" s="500"/>
      <c r="D49" s="500"/>
      <c r="E49" s="500"/>
      <c r="F49" s="500"/>
      <c r="G49" s="500"/>
      <c r="H49" s="501"/>
      <c r="I49" s="4">
        <v>151</v>
      </c>
      <c r="J49" s="8"/>
      <c r="K49" s="60"/>
      <c r="L49" s="60"/>
    </row>
    <row r="50" spans="1:12" s="3" customFormat="1" ht="13.5" customHeight="1">
      <c r="A50" s="499" t="s">
        <v>1826</v>
      </c>
      <c r="B50" s="500"/>
      <c r="C50" s="500"/>
      <c r="D50" s="500"/>
      <c r="E50" s="500"/>
      <c r="F50" s="500"/>
      <c r="G50" s="500"/>
      <c r="H50" s="501"/>
      <c r="I50" s="4">
        <v>152</v>
      </c>
      <c r="J50" s="8" t="s">
        <v>2994</v>
      </c>
      <c r="K50" s="59">
        <f>K46-K49</f>
        <v>-524442</v>
      </c>
      <c r="L50" s="59">
        <f>L46-L49</f>
        <v>-453876</v>
      </c>
    </row>
    <row r="51" spans="1:12" s="3" customFormat="1" ht="13.5" customHeight="1">
      <c r="A51" s="486" t="s">
        <v>1021</v>
      </c>
      <c r="B51" s="487"/>
      <c r="C51" s="487"/>
      <c r="D51" s="487"/>
      <c r="E51" s="487"/>
      <c r="F51" s="487"/>
      <c r="G51" s="487"/>
      <c r="H51" s="488"/>
      <c r="I51" s="4">
        <v>153</v>
      </c>
      <c r="J51" s="8"/>
      <c r="K51" s="59">
        <f>IF(K50&gt;0,K50,0)</f>
        <v>0</v>
      </c>
      <c r="L51" s="59">
        <f>IF(L50&gt;0,L50,0)</f>
        <v>0</v>
      </c>
    </row>
    <row r="52" spans="1:12" s="3" customFormat="1" ht="13.5" customHeight="1">
      <c r="A52" s="549" t="s">
        <v>60</v>
      </c>
      <c r="B52" s="550"/>
      <c r="C52" s="550"/>
      <c r="D52" s="550"/>
      <c r="E52" s="550"/>
      <c r="F52" s="550"/>
      <c r="G52" s="550"/>
      <c r="H52" s="551"/>
      <c r="I52" s="5">
        <v>154</v>
      </c>
      <c r="J52" s="9"/>
      <c r="K52" s="71">
        <f>IF(K50&lt;0,-K50,0)</f>
        <v>524442</v>
      </c>
      <c r="L52" s="71">
        <f>IF(L50&lt;0,-L50,0)</f>
        <v>453876</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tabSelected="1" zoomScalePageLayoutView="0" workbookViewId="0" topLeftCell="A1">
      <pane ySplit="2" topLeftCell="A3" activePane="bottomLeft" state="frozen"/>
      <selection pane="topLeft" activeCell="A1" sqref="A1"/>
      <selection pane="bottomLeft" activeCell="A1" sqref="A1:B2"/>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01.01.2015. do 31.12.2015.</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08382999002; KOMUNALNO DRUŠTVO PAG D.O.O.</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08382999002; KOMUNALNO DRUŠTVO PAG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99" t="s">
        <v>219</v>
      </c>
      <c r="B21" s="500"/>
      <c r="C21" s="500"/>
      <c r="D21" s="500"/>
      <c r="E21" s="500"/>
      <c r="F21" s="500"/>
      <c r="G21" s="500"/>
      <c r="H21" s="500"/>
      <c r="I21" s="4">
        <v>12</v>
      </c>
      <c r="J21" s="139"/>
      <c r="K21" s="54">
        <f>SUM(K17:K20)</f>
        <v>0</v>
      </c>
      <c r="L21" s="59">
        <f>SUM(L17:L20)</f>
        <v>0</v>
      </c>
    </row>
    <row r="22" spans="1:12" s="3" customFormat="1" ht="24.75" customHeight="1">
      <c r="A22" s="499" t="s">
        <v>2473</v>
      </c>
      <c r="B22" s="500"/>
      <c r="C22" s="500"/>
      <c r="D22" s="500"/>
      <c r="E22" s="500"/>
      <c r="F22" s="500"/>
      <c r="G22" s="500"/>
      <c r="H22" s="500"/>
      <c r="I22" s="4">
        <v>13</v>
      </c>
      <c r="J22" s="139"/>
      <c r="K22" s="54">
        <f>IF(K16&gt;K21,K16-K21,0)</f>
        <v>0</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0</v>
      </c>
      <c r="L34" s="59">
        <f>SUM(L31:L33)</f>
        <v>0</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0</v>
      </c>
      <c r="L47" s="59">
        <f>SUM(L42:L46)</f>
        <v>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08382999002; KOMUNALNO DRUŠTVO PAG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User</cp:lastModifiedBy>
  <cp:lastPrinted>2016-06-24T05:17:40Z</cp:lastPrinted>
  <dcterms:created xsi:type="dcterms:W3CDTF">2008-10-17T11:51:54Z</dcterms:created>
  <dcterms:modified xsi:type="dcterms:W3CDTF">2016-06-24T05:17:51Z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